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2" windowWidth="23256" windowHeight="12012"/>
  </bookViews>
  <sheets>
    <sheet name="návrh 1.zmeny Z.Fándlyho 2015" sheetId="1" r:id="rId1"/>
  </sheets>
  <definedNames>
    <definedName name="_xlnm._FilterDatabase" localSheetId="0" hidden="1">'návrh 1.zmeny Z.Fándlyho 2015'!$A$13:$W$74</definedName>
  </definedNames>
  <calcPr calcId="124519"/>
</workbook>
</file>

<file path=xl/calcChain.xml><?xml version="1.0" encoding="utf-8"?>
<calcChain xmlns="http://schemas.openxmlformats.org/spreadsheetml/2006/main">
  <c r="K337" i="1"/>
  <c r="K12"/>
  <c r="K114"/>
  <c r="K13"/>
  <c r="L166"/>
  <c r="L165"/>
  <c r="L168"/>
  <c r="I253"/>
  <c r="G253"/>
  <c r="I190"/>
  <c r="G190"/>
  <c r="J33"/>
  <c r="H33"/>
  <c r="J134"/>
  <c r="H134"/>
  <c r="J162"/>
  <c r="H162"/>
  <c r="J157"/>
  <c r="H157"/>
  <c r="J140"/>
  <c r="J138"/>
  <c r="J137"/>
  <c r="J132"/>
  <c r="J130"/>
  <c r="J129"/>
  <c r="H140"/>
  <c r="H138"/>
  <c r="H132"/>
  <c r="H129"/>
  <c r="H170"/>
  <c r="J93"/>
  <c r="H93"/>
  <c r="I91"/>
  <c r="G91"/>
  <c r="J90"/>
  <c r="H90"/>
  <c r="I89"/>
  <c r="G89"/>
  <c r="J88"/>
  <c r="H88"/>
  <c r="I87"/>
  <c r="G87"/>
  <c r="J86"/>
  <c r="H86"/>
  <c r="I85"/>
  <c r="G85"/>
  <c r="I192"/>
  <c r="G192"/>
  <c r="J194"/>
  <c r="H194"/>
  <c r="J187"/>
  <c r="H187"/>
  <c r="H191"/>
  <c r="I186"/>
  <c r="G186"/>
  <c r="L167"/>
  <c r="K165"/>
  <c r="L67"/>
  <c r="L66"/>
  <c r="L65"/>
  <c r="H67"/>
  <c r="H66"/>
  <c r="H65"/>
  <c r="K64"/>
  <c r="G64"/>
  <c r="H64" s="1"/>
  <c r="G165"/>
  <c r="H168"/>
  <c r="H167"/>
  <c r="H166"/>
  <c r="J62"/>
  <c r="H62"/>
  <c r="J56"/>
  <c r="H56"/>
  <c r="H61"/>
  <c r="J39"/>
  <c r="H39"/>
  <c r="J37"/>
  <c r="H37"/>
  <c r="J36"/>
  <c r="I68"/>
  <c r="J68" s="1"/>
  <c r="G68"/>
  <c r="H68" s="1"/>
  <c r="H69"/>
  <c r="H31"/>
  <c r="J31"/>
  <c r="J29"/>
  <c r="J28"/>
  <c r="H28"/>
  <c r="H169"/>
  <c r="G172"/>
  <c r="J111"/>
  <c r="H111"/>
  <c r="H110"/>
  <c r="J106"/>
  <c r="H106"/>
  <c r="J212"/>
  <c r="H212"/>
  <c r="J207"/>
  <c r="H207"/>
  <c r="L252"/>
  <c r="H236"/>
  <c r="L329"/>
  <c r="L290"/>
  <c r="H329"/>
  <c r="J323"/>
  <c r="H323"/>
  <c r="H321"/>
  <c r="J321"/>
  <c r="H319"/>
  <c r="J319"/>
  <c r="I313"/>
  <c r="G313"/>
  <c r="J314"/>
  <c r="H314"/>
  <c r="J312"/>
  <c r="J307"/>
  <c r="J298"/>
  <c r="H298"/>
  <c r="H290"/>
  <c r="J284"/>
  <c r="H284"/>
  <c r="H283"/>
  <c r="J281"/>
  <c r="H281"/>
  <c r="H280"/>
  <c r="J280"/>
  <c r="I274"/>
  <c r="G274"/>
  <c r="J275"/>
  <c r="H275"/>
  <c r="J273"/>
  <c r="J268"/>
  <c r="J259"/>
  <c r="H259"/>
  <c r="J250"/>
  <c r="I249"/>
  <c r="G249"/>
  <c r="H250"/>
  <c r="H247"/>
  <c r="I246"/>
  <c r="G246"/>
  <c r="J248"/>
  <c r="H248"/>
  <c r="J169"/>
  <c r="J61"/>
  <c r="E91"/>
  <c r="J91" s="1"/>
  <c r="C91"/>
  <c r="E89"/>
  <c r="C89"/>
  <c r="H89" s="1"/>
  <c r="E87"/>
  <c r="J87" s="1"/>
  <c r="C87"/>
  <c r="E192"/>
  <c r="C192"/>
  <c r="E190"/>
  <c r="C190"/>
  <c r="E313"/>
  <c r="E274"/>
  <c r="C249"/>
  <c r="E249"/>
  <c r="O170"/>
  <c r="N170"/>
  <c r="M170"/>
  <c r="J170"/>
  <c r="D170"/>
  <c r="F165"/>
  <c r="F114" s="1"/>
  <c r="L114" s="1"/>
  <c r="C165"/>
  <c r="J69"/>
  <c r="Q68"/>
  <c r="P68"/>
  <c r="F64"/>
  <c r="F13" s="1"/>
  <c r="L13" s="1"/>
  <c r="C64"/>
  <c r="E64"/>
  <c r="J236"/>
  <c r="H214"/>
  <c r="H325"/>
  <c r="H317"/>
  <c r="H310"/>
  <c r="H309"/>
  <c r="H305"/>
  <c r="H304"/>
  <c r="H302"/>
  <c r="H301"/>
  <c r="H296"/>
  <c r="H294"/>
  <c r="H286"/>
  <c r="H278"/>
  <c r="H271"/>
  <c r="H270"/>
  <c r="H266"/>
  <c r="H265"/>
  <c r="H263"/>
  <c r="H262"/>
  <c r="H257"/>
  <c r="H255"/>
  <c r="H251"/>
  <c r="H244"/>
  <c r="H241"/>
  <c r="H239"/>
  <c r="H235"/>
  <c r="H233"/>
  <c r="H223"/>
  <c r="H222"/>
  <c r="H219"/>
  <c r="H217"/>
  <c r="H213"/>
  <c r="H211"/>
  <c r="H209"/>
  <c r="H206"/>
  <c r="H203"/>
  <c r="H202"/>
  <c r="H201"/>
  <c r="H199"/>
  <c r="H197"/>
  <c r="H180"/>
  <c r="H175"/>
  <c r="H160"/>
  <c r="H153"/>
  <c r="H152"/>
  <c r="H146"/>
  <c r="H145"/>
  <c r="H135"/>
  <c r="H133"/>
  <c r="H127"/>
  <c r="H126"/>
  <c r="H125"/>
  <c r="H124"/>
  <c r="H123"/>
  <c r="H122"/>
  <c r="H120"/>
  <c r="H118"/>
  <c r="H116"/>
  <c r="H113"/>
  <c r="H108"/>
  <c r="H105"/>
  <c r="H103"/>
  <c r="H102"/>
  <c r="H101"/>
  <c r="H100"/>
  <c r="H98"/>
  <c r="H96"/>
  <c r="H79"/>
  <c r="H74"/>
  <c r="H72"/>
  <c r="H59"/>
  <c r="H52"/>
  <c r="H51"/>
  <c r="H45"/>
  <c r="H44"/>
  <c r="H43"/>
  <c r="H41"/>
  <c r="H35"/>
  <c r="H32"/>
  <c r="H26"/>
  <c r="H25"/>
  <c r="H24"/>
  <c r="H23"/>
  <c r="H22"/>
  <c r="H21"/>
  <c r="H19"/>
  <c r="H17"/>
  <c r="H15"/>
  <c r="G326"/>
  <c r="G316"/>
  <c r="G306"/>
  <c r="G299"/>
  <c r="G295"/>
  <c r="G293"/>
  <c r="G287"/>
  <c r="G277"/>
  <c r="G267"/>
  <c r="G260"/>
  <c r="G256"/>
  <c r="G254"/>
  <c r="G242"/>
  <c r="G240"/>
  <c r="G238"/>
  <c r="G234"/>
  <c r="G229"/>
  <c r="G225"/>
  <c r="G220"/>
  <c r="G218"/>
  <c r="G216"/>
  <c r="G210"/>
  <c r="G208"/>
  <c r="G205"/>
  <c r="G200"/>
  <c r="G198"/>
  <c r="G196"/>
  <c r="G183"/>
  <c r="G181"/>
  <c r="G179"/>
  <c r="G177"/>
  <c r="G174"/>
  <c r="G161"/>
  <c r="G150"/>
  <c r="G148"/>
  <c r="G143"/>
  <c r="G128"/>
  <c r="G121"/>
  <c r="G119"/>
  <c r="G117"/>
  <c r="G115"/>
  <c r="G109"/>
  <c r="G107"/>
  <c r="G104"/>
  <c r="G99"/>
  <c r="G97"/>
  <c r="G95"/>
  <c r="G82"/>
  <c r="G80"/>
  <c r="G78"/>
  <c r="G76"/>
  <c r="G73"/>
  <c r="G71"/>
  <c r="H71" s="1"/>
  <c r="G60"/>
  <c r="G49"/>
  <c r="G47"/>
  <c r="G42"/>
  <c r="G27"/>
  <c r="G20"/>
  <c r="G18"/>
  <c r="H18" s="1"/>
  <c r="G16"/>
  <c r="H16" s="1"/>
  <c r="G14"/>
  <c r="H14" s="1"/>
  <c r="I299"/>
  <c r="I316"/>
  <c r="I306"/>
  <c r="I277"/>
  <c r="I267"/>
  <c r="I260"/>
  <c r="I242"/>
  <c r="I229"/>
  <c r="I225"/>
  <c r="I220"/>
  <c r="J327"/>
  <c r="J325"/>
  <c r="J324"/>
  <c r="J322"/>
  <c r="J320"/>
  <c r="J318"/>
  <c r="J317"/>
  <c r="J315"/>
  <c r="J311"/>
  <c r="J310"/>
  <c r="J309"/>
  <c r="J308"/>
  <c r="J305"/>
  <c r="J304"/>
  <c r="J303"/>
  <c r="J302"/>
  <c r="J301"/>
  <c r="J300"/>
  <c r="J296"/>
  <c r="J294"/>
  <c r="J288"/>
  <c r="J286"/>
  <c r="J285"/>
  <c r="J283"/>
  <c r="J282"/>
  <c r="J279"/>
  <c r="J278"/>
  <c r="J276"/>
  <c r="J272"/>
  <c r="J271"/>
  <c r="J270"/>
  <c r="J269"/>
  <c r="J266"/>
  <c r="J265"/>
  <c r="J264"/>
  <c r="J263"/>
  <c r="J262"/>
  <c r="J261"/>
  <c r="J257"/>
  <c r="J255"/>
  <c r="J251"/>
  <c r="J245"/>
  <c r="J244"/>
  <c r="J243"/>
  <c r="J241"/>
  <c r="J239"/>
  <c r="J235"/>
  <c r="J233"/>
  <c r="J232"/>
  <c r="J231"/>
  <c r="J227"/>
  <c r="J224"/>
  <c r="J223"/>
  <c r="J222"/>
  <c r="J221"/>
  <c r="J219"/>
  <c r="J217"/>
  <c r="J213"/>
  <c r="J211"/>
  <c r="J209"/>
  <c r="J206"/>
  <c r="J204"/>
  <c r="J203"/>
  <c r="J202"/>
  <c r="J201"/>
  <c r="J199"/>
  <c r="J197"/>
  <c r="J184"/>
  <c r="J182"/>
  <c r="J180"/>
  <c r="J178"/>
  <c r="J175"/>
  <c r="J173"/>
  <c r="J164"/>
  <c r="J163"/>
  <c r="J160"/>
  <c r="J159"/>
  <c r="J158"/>
  <c r="J156"/>
  <c r="J155"/>
  <c r="J154"/>
  <c r="J153"/>
  <c r="J152"/>
  <c r="J151"/>
  <c r="J149"/>
  <c r="J147"/>
  <c r="J146"/>
  <c r="J145"/>
  <c r="J144"/>
  <c r="J142"/>
  <c r="J141"/>
  <c r="J135"/>
  <c r="J133"/>
  <c r="J131"/>
  <c r="J127"/>
  <c r="J126"/>
  <c r="J125"/>
  <c r="J124"/>
  <c r="J123"/>
  <c r="J122"/>
  <c r="J120"/>
  <c r="J118"/>
  <c r="J116"/>
  <c r="J113"/>
  <c r="J110"/>
  <c r="J108"/>
  <c r="J105"/>
  <c r="J103"/>
  <c r="J102"/>
  <c r="J101"/>
  <c r="J100"/>
  <c r="J98"/>
  <c r="J96"/>
  <c r="J83"/>
  <c r="J81"/>
  <c r="J79"/>
  <c r="J77"/>
  <c r="J74"/>
  <c r="J72"/>
  <c r="J63"/>
  <c r="J59"/>
  <c r="J58"/>
  <c r="J57"/>
  <c r="J55"/>
  <c r="J54"/>
  <c r="J53"/>
  <c r="J52"/>
  <c r="J51"/>
  <c r="J50"/>
  <c r="J48"/>
  <c r="J46"/>
  <c r="J45"/>
  <c r="J44"/>
  <c r="J43"/>
  <c r="J41"/>
  <c r="J40"/>
  <c r="J35"/>
  <c r="J32"/>
  <c r="J30"/>
  <c r="J26"/>
  <c r="J25"/>
  <c r="J24"/>
  <c r="J23"/>
  <c r="J22"/>
  <c r="J21"/>
  <c r="J19"/>
  <c r="J17"/>
  <c r="J15"/>
  <c r="I104"/>
  <c r="I99"/>
  <c r="I183"/>
  <c r="I115"/>
  <c r="I210"/>
  <c r="I161"/>
  <c r="I150"/>
  <c r="I60"/>
  <c r="I109"/>
  <c r="I49"/>
  <c r="I143"/>
  <c r="I42"/>
  <c r="I205"/>
  <c r="I200"/>
  <c r="I128"/>
  <c r="I121"/>
  <c r="I82"/>
  <c r="I27"/>
  <c r="I326"/>
  <c r="I295"/>
  <c r="I293"/>
  <c r="I287"/>
  <c r="I256"/>
  <c r="I254"/>
  <c r="J249"/>
  <c r="I240"/>
  <c r="I238"/>
  <c r="I234"/>
  <c r="I218"/>
  <c r="I216"/>
  <c r="I208"/>
  <c r="I198"/>
  <c r="I196"/>
  <c r="I181"/>
  <c r="I179"/>
  <c r="I177"/>
  <c r="I174"/>
  <c r="I172"/>
  <c r="I148"/>
  <c r="I119"/>
  <c r="I117"/>
  <c r="I107"/>
  <c r="I97"/>
  <c r="I95"/>
  <c r="I80"/>
  <c r="I78"/>
  <c r="I76"/>
  <c r="I73"/>
  <c r="I71"/>
  <c r="J71" s="1"/>
  <c r="I47"/>
  <c r="I18"/>
  <c r="I16"/>
  <c r="J16" s="1"/>
  <c r="I14"/>
  <c r="J14" s="1"/>
  <c r="I20"/>
  <c r="F328"/>
  <c r="F292" s="1"/>
  <c r="L292" s="1"/>
  <c r="C328"/>
  <c r="H328" s="1"/>
  <c r="H327"/>
  <c r="O326"/>
  <c r="N326"/>
  <c r="M326"/>
  <c r="E326"/>
  <c r="D326"/>
  <c r="C324"/>
  <c r="H324" s="1"/>
  <c r="H322"/>
  <c r="C320"/>
  <c r="H320" s="1"/>
  <c r="C318"/>
  <c r="H318" s="1"/>
  <c r="Q316"/>
  <c r="P316"/>
  <c r="O316"/>
  <c r="N316"/>
  <c r="M316"/>
  <c r="E316"/>
  <c r="J316" s="1"/>
  <c r="D316"/>
  <c r="C315"/>
  <c r="H315" s="1"/>
  <c r="C312"/>
  <c r="H312" s="1"/>
  <c r="C311"/>
  <c r="H311" s="1"/>
  <c r="O310"/>
  <c r="O306" s="1"/>
  <c r="N310"/>
  <c r="N306" s="1"/>
  <c r="M310"/>
  <c r="M306" s="1"/>
  <c r="D310"/>
  <c r="D306" s="1"/>
  <c r="C308"/>
  <c r="H308" s="1"/>
  <c r="C307"/>
  <c r="H307" s="1"/>
  <c r="Q306"/>
  <c r="P306"/>
  <c r="E306"/>
  <c r="J306" s="1"/>
  <c r="Q305"/>
  <c r="P305"/>
  <c r="O305"/>
  <c r="O299" s="1"/>
  <c r="N305"/>
  <c r="N299" s="1"/>
  <c r="M305"/>
  <c r="M299" s="1"/>
  <c r="D305"/>
  <c r="D299" s="1"/>
  <c r="C303"/>
  <c r="H303" s="1"/>
  <c r="H300"/>
  <c r="E299"/>
  <c r="J299" s="1"/>
  <c r="Q297"/>
  <c r="P297"/>
  <c r="O297"/>
  <c r="N297"/>
  <c r="M297"/>
  <c r="E297"/>
  <c r="J297" s="1"/>
  <c r="D297"/>
  <c r="C297"/>
  <c r="H297" s="1"/>
  <c r="E295"/>
  <c r="D295"/>
  <c r="O293"/>
  <c r="N293"/>
  <c r="M293"/>
  <c r="E293"/>
  <c r="D293"/>
  <c r="F289"/>
  <c r="F253" s="1"/>
  <c r="L253" s="1"/>
  <c r="C289"/>
  <c r="H289" s="1"/>
  <c r="E287"/>
  <c r="E277"/>
  <c r="C285"/>
  <c r="H285" s="1"/>
  <c r="E260"/>
  <c r="E258"/>
  <c r="J258" s="1"/>
  <c r="C258"/>
  <c r="H258" s="1"/>
  <c r="E238"/>
  <c r="E234"/>
  <c r="E229"/>
  <c r="J229" s="1"/>
  <c r="E225"/>
  <c r="O211"/>
  <c r="O210" s="1"/>
  <c r="N211"/>
  <c r="N210" s="1"/>
  <c r="M211"/>
  <c r="M210" s="1"/>
  <c r="Q210"/>
  <c r="P210"/>
  <c r="E210"/>
  <c r="C210"/>
  <c r="O208"/>
  <c r="N208"/>
  <c r="M208"/>
  <c r="E208"/>
  <c r="C208"/>
  <c r="O206"/>
  <c r="O200" s="1"/>
  <c r="N206"/>
  <c r="N200" s="1"/>
  <c r="M206"/>
  <c r="M205" s="1"/>
  <c r="Q205"/>
  <c r="P205"/>
  <c r="E205"/>
  <c r="C205"/>
  <c r="E200"/>
  <c r="D200"/>
  <c r="C200"/>
  <c r="O198"/>
  <c r="N198"/>
  <c r="M198"/>
  <c r="E198"/>
  <c r="C198"/>
  <c r="O196"/>
  <c r="N196"/>
  <c r="M196"/>
  <c r="E196"/>
  <c r="C196"/>
  <c r="D195"/>
  <c r="D188" s="1"/>
  <c r="E188"/>
  <c r="C188"/>
  <c r="O186"/>
  <c r="O185" s="1"/>
  <c r="N186"/>
  <c r="N185" s="1"/>
  <c r="M186"/>
  <c r="M185" s="1"/>
  <c r="E186"/>
  <c r="D186"/>
  <c r="C186"/>
  <c r="Q185"/>
  <c r="P185"/>
  <c r="D185"/>
  <c r="H184"/>
  <c r="Q183"/>
  <c r="P183"/>
  <c r="O183"/>
  <c r="N183"/>
  <c r="M183"/>
  <c r="E183"/>
  <c r="C183" s="1"/>
  <c r="D183"/>
  <c r="H182"/>
  <c r="Q181"/>
  <c r="Q176" s="1"/>
  <c r="P181"/>
  <c r="P176" s="1"/>
  <c r="O181"/>
  <c r="N181"/>
  <c r="M181"/>
  <c r="E181"/>
  <c r="D181"/>
  <c r="O179"/>
  <c r="N179"/>
  <c r="M179"/>
  <c r="E179"/>
  <c r="D179"/>
  <c r="C178"/>
  <c r="H178" s="1"/>
  <c r="O177"/>
  <c r="N177"/>
  <c r="M177"/>
  <c r="E177"/>
  <c r="D177"/>
  <c r="O174"/>
  <c r="N174"/>
  <c r="M174"/>
  <c r="E174"/>
  <c r="D174"/>
  <c r="C173"/>
  <c r="H173" s="1"/>
  <c r="O172"/>
  <c r="N172"/>
  <c r="M172"/>
  <c r="E172"/>
  <c r="D172"/>
  <c r="Q171"/>
  <c r="Q169" s="1"/>
  <c r="P171"/>
  <c r="P169" s="1"/>
  <c r="C164"/>
  <c r="H164" s="1"/>
  <c r="H163"/>
  <c r="O161"/>
  <c r="N161"/>
  <c r="M161"/>
  <c r="E161"/>
  <c r="D161"/>
  <c r="C159"/>
  <c r="H159" s="1"/>
  <c r="H158"/>
  <c r="H156"/>
  <c r="C155"/>
  <c r="H155" s="1"/>
  <c r="C154"/>
  <c r="H154" s="1"/>
  <c r="O152"/>
  <c r="O150" s="1"/>
  <c r="N152"/>
  <c r="N150" s="1"/>
  <c r="M152"/>
  <c r="M150" s="1"/>
  <c r="D152"/>
  <c r="D150" s="1"/>
  <c r="C151"/>
  <c r="H151" s="1"/>
  <c r="Q150"/>
  <c r="P150"/>
  <c r="E150"/>
  <c r="C149"/>
  <c r="H149" s="1"/>
  <c r="O148"/>
  <c r="N148"/>
  <c r="M148"/>
  <c r="E148"/>
  <c r="H147"/>
  <c r="H144"/>
  <c r="Q143"/>
  <c r="P143"/>
  <c r="O143"/>
  <c r="N143"/>
  <c r="M143"/>
  <c r="E143"/>
  <c r="D143"/>
  <c r="H142"/>
  <c r="H141"/>
  <c r="C137"/>
  <c r="H137" s="1"/>
  <c r="O133"/>
  <c r="O128" s="1"/>
  <c r="N133"/>
  <c r="N128" s="1"/>
  <c r="M133"/>
  <c r="M128" s="1"/>
  <c r="D133"/>
  <c r="D128" s="1"/>
  <c r="C131"/>
  <c r="H131" s="1"/>
  <c r="C130"/>
  <c r="H130" s="1"/>
  <c r="Q128"/>
  <c r="P128"/>
  <c r="E128"/>
  <c r="Q127"/>
  <c r="P127"/>
  <c r="O127"/>
  <c r="N127"/>
  <c r="N121" s="1"/>
  <c r="M127"/>
  <c r="M121" s="1"/>
  <c r="D127"/>
  <c r="D121" s="1"/>
  <c r="O121"/>
  <c r="E121"/>
  <c r="O119"/>
  <c r="N119"/>
  <c r="M119"/>
  <c r="E119"/>
  <c r="D119"/>
  <c r="C119"/>
  <c r="E117"/>
  <c r="D117"/>
  <c r="O115"/>
  <c r="N115"/>
  <c r="M115"/>
  <c r="E115"/>
  <c r="D115"/>
  <c r="C115"/>
  <c r="E107"/>
  <c r="C107"/>
  <c r="E104"/>
  <c r="C104"/>
  <c r="C99"/>
  <c r="E99"/>
  <c r="C95"/>
  <c r="E95"/>
  <c r="E109"/>
  <c r="C109"/>
  <c r="D99"/>
  <c r="C97"/>
  <c r="E97"/>
  <c r="E85"/>
  <c r="E84" s="1"/>
  <c r="C85"/>
  <c r="O85"/>
  <c r="O84" s="1"/>
  <c r="N85"/>
  <c r="N84" s="1"/>
  <c r="M85"/>
  <c r="M84" s="1"/>
  <c r="D85"/>
  <c r="Q84"/>
  <c r="P84"/>
  <c r="D84"/>
  <c r="E76"/>
  <c r="E60"/>
  <c r="C63"/>
  <c r="H63" s="1"/>
  <c r="E49"/>
  <c r="E47"/>
  <c r="E20"/>
  <c r="C269"/>
  <c r="H269" s="1"/>
  <c r="C272"/>
  <c r="H272" s="1"/>
  <c r="C273"/>
  <c r="H273" s="1"/>
  <c r="E254"/>
  <c r="E256"/>
  <c r="E267"/>
  <c r="D287"/>
  <c r="C287"/>
  <c r="E240"/>
  <c r="E242"/>
  <c r="E246"/>
  <c r="J246" s="1"/>
  <c r="H231"/>
  <c r="H232"/>
  <c r="E220"/>
  <c r="E218"/>
  <c r="E216"/>
  <c r="C216" s="1"/>
  <c r="D216"/>
  <c r="M216"/>
  <c r="N216"/>
  <c r="O216"/>
  <c r="D218"/>
  <c r="H221"/>
  <c r="H224"/>
  <c r="D224"/>
  <c r="D220" s="1"/>
  <c r="M224"/>
  <c r="M220" s="1"/>
  <c r="N224"/>
  <c r="N220" s="1"/>
  <c r="O224"/>
  <c r="O220" s="1"/>
  <c r="P224"/>
  <c r="Q224"/>
  <c r="P225"/>
  <c r="Q225"/>
  <c r="C227"/>
  <c r="H227" s="1"/>
  <c r="D227"/>
  <c r="D225" s="1"/>
  <c r="M227"/>
  <c r="M225" s="1"/>
  <c r="N227"/>
  <c r="N225" s="1"/>
  <c r="O227"/>
  <c r="O225" s="1"/>
  <c r="D229"/>
  <c r="M229"/>
  <c r="N229"/>
  <c r="O229"/>
  <c r="P229"/>
  <c r="Q229"/>
  <c r="C234"/>
  <c r="D234"/>
  <c r="M234"/>
  <c r="N234"/>
  <c r="O234"/>
  <c r="E80"/>
  <c r="D78"/>
  <c r="E78"/>
  <c r="E82"/>
  <c r="C82" s="1"/>
  <c r="C80"/>
  <c r="C77"/>
  <c r="C76" s="1"/>
  <c r="E73"/>
  <c r="C53"/>
  <c r="H53" s="1"/>
  <c r="C54"/>
  <c r="H54" s="1"/>
  <c r="H55"/>
  <c r="H57"/>
  <c r="C58"/>
  <c r="H58" s="1"/>
  <c r="C50"/>
  <c r="H50" s="1"/>
  <c r="C48"/>
  <c r="H48" s="1"/>
  <c r="H46"/>
  <c r="E42"/>
  <c r="E27"/>
  <c r="C20"/>
  <c r="O287"/>
  <c r="N287"/>
  <c r="M287"/>
  <c r="C282"/>
  <c r="H282" s="1"/>
  <c r="C279"/>
  <c r="H279" s="1"/>
  <c r="Q277"/>
  <c r="P277"/>
  <c r="O277"/>
  <c r="N277"/>
  <c r="M277"/>
  <c r="D277"/>
  <c r="C276"/>
  <c r="C274" s="1"/>
  <c r="O271"/>
  <c r="O267" s="1"/>
  <c r="N271"/>
  <c r="N267" s="1"/>
  <c r="M271"/>
  <c r="M267" s="1"/>
  <c r="D271"/>
  <c r="D267" s="1"/>
  <c r="C268"/>
  <c r="H268" s="1"/>
  <c r="Q267"/>
  <c r="P267"/>
  <c r="Q266"/>
  <c r="P266"/>
  <c r="O266"/>
  <c r="O260" s="1"/>
  <c r="N266"/>
  <c r="N260" s="1"/>
  <c r="M266"/>
  <c r="M260" s="1"/>
  <c r="D266"/>
  <c r="D260" s="1"/>
  <c r="C264"/>
  <c r="H264" s="1"/>
  <c r="H261"/>
  <c r="Q258"/>
  <c r="P258"/>
  <c r="O258"/>
  <c r="N258"/>
  <c r="M258"/>
  <c r="D258"/>
  <c r="D256"/>
  <c r="O254"/>
  <c r="N254"/>
  <c r="M254"/>
  <c r="D254"/>
  <c r="O246"/>
  <c r="N246"/>
  <c r="M246"/>
  <c r="D246"/>
  <c r="Q246"/>
  <c r="P246"/>
  <c r="Q245"/>
  <c r="P245"/>
  <c r="O245"/>
  <c r="O242" s="1"/>
  <c r="N245"/>
  <c r="N242" s="1"/>
  <c r="M245"/>
  <c r="M242" s="1"/>
  <c r="D245"/>
  <c r="D242" s="1"/>
  <c r="H245"/>
  <c r="H243"/>
  <c r="D240"/>
  <c r="O238"/>
  <c r="N238"/>
  <c r="M238"/>
  <c r="D238"/>
  <c r="O110"/>
  <c r="O109" s="1"/>
  <c r="N110"/>
  <c r="N109" s="1"/>
  <c r="M110"/>
  <c r="M109" s="1"/>
  <c r="Q109"/>
  <c r="P109"/>
  <c r="O107"/>
  <c r="N107"/>
  <c r="M107"/>
  <c r="O105"/>
  <c r="O104" s="1"/>
  <c r="N105"/>
  <c r="N104" s="1"/>
  <c r="M105"/>
  <c r="M104" s="1"/>
  <c r="Q104"/>
  <c r="P104"/>
  <c r="O97"/>
  <c r="N97"/>
  <c r="M97"/>
  <c r="O95"/>
  <c r="N95"/>
  <c r="M95"/>
  <c r="H83"/>
  <c r="Q82"/>
  <c r="P82"/>
  <c r="O82"/>
  <c r="N82"/>
  <c r="M82"/>
  <c r="D82"/>
  <c r="D80"/>
  <c r="Q80"/>
  <c r="Q75" s="1"/>
  <c r="P80"/>
  <c r="P75" s="1"/>
  <c r="O80"/>
  <c r="N80"/>
  <c r="M80"/>
  <c r="O78"/>
  <c r="N78"/>
  <c r="M78"/>
  <c r="O76"/>
  <c r="N76"/>
  <c r="M76"/>
  <c r="D76"/>
  <c r="O73"/>
  <c r="N73"/>
  <c r="M73"/>
  <c r="D73"/>
  <c r="O71"/>
  <c r="N71"/>
  <c r="M71"/>
  <c r="D71"/>
  <c r="Q70"/>
  <c r="P70"/>
  <c r="O60"/>
  <c r="N60"/>
  <c r="M60"/>
  <c r="D60"/>
  <c r="O51"/>
  <c r="O49" s="1"/>
  <c r="N51"/>
  <c r="N49" s="1"/>
  <c r="M51"/>
  <c r="M49" s="1"/>
  <c r="D51"/>
  <c r="D49" s="1"/>
  <c r="Q49"/>
  <c r="P49"/>
  <c r="O47"/>
  <c r="N47"/>
  <c r="M47"/>
  <c r="Q42"/>
  <c r="P42"/>
  <c r="O42"/>
  <c r="N42"/>
  <c r="M42"/>
  <c r="D42"/>
  <c r="H40"/>
  <c r="C36"/>
  <c r="H36" s="1"/>
  <c r="O32"/>
  <c r="O27" s="1"/>
  <c r="N32"/>
  <c r="N27" s="1"/>
  <c r="M32"/>
  <c r="M27" s="1"/>
  <c r="D32"/>
  <c r="D27" s="1"/>
  <c r="C30"/>
  <c r="H30" s="1"/>
  <c r="C29"/>
  <c r="H29" s="1"/>
  <c r="Q27"/>
  <c r="P27"/>
  <c r="Q26"/>
  <c r="P26"/>
  <c r="O26"/>
  <c r="O20" s="1"/>
  <c r="N26"/>
  <c r="N20" s="1"/>
  <c r="M26"/>
  <c r="M20" s="1"/>
  <c r="D26"/>
  <c r="D20" s="1"/>
  <c r="O18"/>
  <c r="N18"/>
  <c r="M18"/>
  <c r="D18"/>
  <c r="D16"/>
  <c r="O14"/>
  <c r="N14"/>
  <c r="M14"/>
  <c r="D14"/>
  <c r="H165" l="1"/>
  <c r="J186"/>
  <c r="G84"/>
  <c r="J225"/>
  <c r="H186"/>
  <c r="L64"/>
  <c r="H249"/>
  <c r="H91"/>
  <c r="L12"/>
  <c r="C84"/>
  <c r="J89"/>
  <c r="J85"/>
  <c r="H85"/>
  <c r="H87"/>
  <c r="I84"/>
  <c r="J84" s="1"/>
  <c r="H192"/>
  <c r="H82"/>
  <c r="H183"/>
  <c r="L289"/>
  <c r="L328"/>
  <c r="E185"/>
  <c r="J82"/>
  <c r="J183"/>
  <c r="E114"/>
  <c r="E171"/>
  <c r="C185"/>
  <c r="C313"/>
  <c r="H313" s="1"/>
  <c r="H216"/>
  <c r="H80"/>
  <c r="H99"/>
  <c r="G114"/>
  <c r="H198"/>
  <c r="H210"/>
  <c r="H104"/>
  <c r="H200"/>
  <c r="H97"/>
  <c r="H109"/>
  <c r="H208"/>
  <c r="G237"/>
  <c r="H274"/>
  <c r="H287"/>
  <c r="J220"/>
  <c r="H20"/>
  <c r="H76"/>
  <c r="H95"/>
  <c r="H107"/>
  <c r="H119"/>
  <c r="H205"/>
  <c r="H234"/>
  <c r="J73"/>
  <c r="G171"/>
  <c r="H115"/>
  <c r="J196"/>
  <c r="H288"/>
  <c r="J107"/>
  <c r="J205"/>
  <c r="J109"/>
  <c r="J210"/>
  <c r="J104"/>
  <c r="G195"/>
  <c r="G215"/>
  <c r="G292"/>
  <c r="H77"/>
  <c r="H81"/>
  <c r="H196"/>
  <c r="H276"/>
  <c r="I75"/>
  <c r="J179"/>
  <c r="J20"/>
  <c r="J47"/>
  <c r="J117"/>
  <c r="J172"/>
  <c r="J181"/>
  <c r="J198"/>
  <c r="J287"/>
  <c r="J326"/>
  <c r="J42"/>
  <c r="J60"/>
  <c r="J115"/>
  <c r="G70"/>
  <c r="G75"/>
  <c r="G176"/>
  <c r="J80"/>
  <c r="J97"/>
  <c r="J148"/>
  <c r="I176"/>
  <c r="I215"/>
  <c r="I214" s="1"/>
  <c r="J214" s="1"/>
  <c r="J295"/>
  <c r="J313"/>
  <c r="J27"/>
  <c r="J200"/>
  <c r="J49"/>
  <c r="J161"/>
  <c r="J99"/>
  <c r="G13"/>
  <c r="G94"/>
  <c r="J18"/>
  <c r="J78"/>
  <c r="J95"/>
  <c r="J119"/>
  <c r="J174"/>
  <c r="J208"/>
  <c r="J293"/>
  <c r="J128"/>
  <c r="J143"/>
  <c r="J150"/>
  <c r="I292"/>
  <c r="J234"/>
  <c r="J254"/>
  <c r="I114"/>
  <c r="I70"/>
  <c r="I171"/>
  <c r="J171" s="1"/>
  <c r="I195"/>
  <c r="J242"/>
  <c r="J277"/>
  <c r="J218"/>
  <c r="J240"/>
  <c r="I13"/>
  <c r="J76"/>
  <c r="J177"/>
  <c r="J267"/>
  <c r="J216"/>
  <c r="J238"/>
  <c r="J256"/>
  <c r="J121"/>
  <c r="J260"/>
  <c r="I252"/>
  <c r="J252" s="1"/>
  <c r="I237"/>
  <c r="I94"/>
  <c r="C306"/>
  <c r="H306" s="1"/>
  <c r="E237"/>
  <c r="E292"/>
  <c r="Q292"/>
  <c r="F337"/>
  <c r="L337" s="1"/>
  <c r="M292"/>
  <c r="P292"/>
  <c r="C326"/>
  <c r="H326" s="1"/>
  <c r="D292"/>
  <c r="C260"/>
  <c r="H260" s="1"/>
  <c r="O292"/>
  <c r="C299"/>
  <c r="H299" s="1"/>
  <c r="C293"/>
  <c r="H293" s="1"/>
  <c r="N292"/>
  <c r="C316"/>
  <c r="H316" s="1"/>
  <c r="C295"/>
  <c r="H295" s="1"/>
  <c r="C277"/>
  <c r="H277" s="1"/>
  <c r="C254"/>
  <c r="H254" s="1"/>
  <c r="C267"/>
  <c r="H267" s="1"/>
  <c r="C238"/>
  <c r="H238" s="1"/>
  <c r="C242"/>
  <c r="H242" s="1"/>
  <c r="C181"/>
  <c r="H181" s="1"/>
  <c r="C229"/>
  <c r="H229" s="1"/>
  <c r="C225"/>
  <c r="H225" s="1"/>
  <c r="C148"/>
  <c r="H148" s="1"/>
  <c r="E70"/>
  <c r="N171"/>
  <c r="N169" s="1"/>
  <c r="D171"/>
  <c r="D169" s="1"/>
  <c r="O171"/>
  <c r="O169" s="1"/>
  <c r="C161"/>
  <c r="H161" s="1"/>
  <c r="M171"/>
  <c r="M169" s="1"/>
  <c r="N176"/>
  <c r="N205"/>
  <c r="N195" s="1"/>
  <c r="C94"/>
  <c r="E94"/>
  <c r="C195"/>
  <c r="Q195"/>
  <c r="P195"/>
  <c r="D176"/>
  <c r="O176"/>
  <c r="M200"/>
  <c r="C172"/>
  <c r="H172" s="1"/>
  <c r="C177"/>
  <c r="H177" s="1"/>
  <c r="M176"/>
  <c r="M195"/>
  <c r="O205"/>
  <c r="O195" s="1"/>
  <c r="E195"/>
  <c r="C121"/>
  <c r="H121" s="1"/>
  <c r="C128"/>
  <c r="H128" s="1"/>
  <c r="C174"/>
  <c r="H174" s="1"/>
  <c r="C143"/>
  <c r="H143" s="1"/>
  <c r="C150"/>
  <c r="H150" s="1"/>
  <c r="E176"/>
  <c r="C179"/>
  <c r="H179" s="1"/>
  <c r="C117"/>
  <c r="H117" s="1"/>
  <c r="O99"/>
  <c r="N99"/>
  <c r="M99"/>
  <c r="E75"/>
  <c r="E13"/>
  <c r="C60"/>
  <c r="H60" s="1"/>
  <c r="C27"/>
  <c r="H27" s="1"/>
  <c r="C246"/>
  <c r="H246" s="1"/>
  <c r="P237"/>
  <c r="Q237"/>
  <c r="C220"/>
  <c r="H220" s="1"/>
  <c r="M237"/>
  <c r="O94"/>
  <c r="P94"/>
  <c r="P253"/>
  <c r="M253"/>
  <c r="M75"/>
  <c r="N75"/>
  <c r="M94"/>
  <c r="O237"/>
  <c r="O253"/>
  <c r="Q253"/>
  <c r="D70"/>
  <c r="D69" s="1"/>
  <c r="D68" s="1"/>
  <c r="O75"/>
  <c r="N94"/>
  <c r="Q94"/>
  <c r="N237"/>
  <c r="N253"/>
  <c r="N70"/>
  <c r="N69" s="1"/>
  <c r="N68" s="1"/>
  <c r="O70"/>
  <c r="O69" s="1"/>
  <c r="O68" s="1"/>
  <c r="C49"/>
  <c r="H49" s="1"/>
  <c r="C73"/>
  <c r="C70" s="1"/>
  <c r="D253"/>
  <c r="M70"/>
  <c r="M69" s="1"/>
  <c r="M68" s="1"/>
  <c r="D237"/>
  <c r="C47"/>
  <c r="H47" s="1"/>
  <c r="C78"/>
  <c r="C75" s="1"/>
  <c r="E215"/>
  <c r="Q215"/>
  <c r="P215"/>
  <c r="D94"/>
  <c r="D87" s="1"/>
  <c r="D75"/>
  <c r="C218"/>
  <c r="H218" s="1"/>
  <c r="M215"/>
  <c r="O215"/>
  <c r="D215"/>
  <c r="N215"/>
  <c r="C42"/>
  <c r="H42" s="1"/>
  <c r="C240"/>
  <c r="H240" s="1"/>
  <c r="C256"/>
  <c r="H256" s="1"/>
  <c r="H84" l="1"/>
  <c r="G252"/>
  <c r="H252" s="1"/>
  <c r="J192"/>
  <c r="H190"/>
  <c r="J114"/>
  <c r="H94"/>
  <c r="H70"/>
  <c r="H195"/>
  <c r="J70"/>
  <c r="J94"/>
  <c r="J195"/>
  <c r="J176"/>
  <c r="J215"/>
  <c r="J75"/>
  <c r="J13"/>
  <c r="H73"/>
  <c r="H78"/>
  <c r="J237"/>
  <c r="J292"/>
  <c r="C237"/>
  <c r="H237" s="1"/>
  <c r="C292"/>
  <c r="H292" s="1"/>
  <c r="C253"/>
  <c r="C114"/>
  <c r="H114" s="1"/>
  <c r="C171"/>
  <c r="H171" s="1"/>
  <c r="C176"/>
  <c r="C13"/>
  <c r="H13" s="1"/>
  <c r="P337"/>
  <c r="C215"/>
  <c r="H215" s="1"/>
  <c r="O337"/>
  <c r="N337"/>
  <c r="M337"/>
  <c r="D337"/>
  <c r="Q337"/>
  <c r="J191" l="1"/>
  <c r="H189"/>
  <c r="G188"/>
  <c r="H253"/>
  <c r="C337"/>
  <c r="E253"/>
  <c r="E337" s="1"/>
  <c r="J274"/>
  <c r="H188" l="1"/>
  <c r="G185"/>
  <c r="G12" s="1"/>
  <c r="G337" s="1"/>
  <c r="J190"/>
  <c r="J253"/>
  <c r="H185" l="1"/>
  <c r="H12"/>
  <c r="H337"/>
  <c r="I188"/>
  <c r="J189"/>
  <c r="J188" l="1"/>
  <c r="I185"/>
  <c r="I12" l="1"/>
  <c r="J12" s="1"/>
  <c r="I337"/>
  <c r="J337" s="1"/>
  <c r="J185"/>
</calcChain>
</file>

<file path=xl/sharedStrings.xml><?xml version="1.0" encoding="utf-8"?>
<sst xmlns="http://schemas.openxmlformats.org/spreadsheetml/2006/main" count="422" uniqueCount="168">
  <si>
    <t>Príloha č. 1</t>
  </si>
  <si>
    <t>Návrh rozpočtu na rok 2014</t>
  </si>
  <si>
    <t>Návrh rozpočtu na rok 2015</t>
  </si>
  <si>
    <t>Položky / Podpoložky</t>
  </si>
  <si>
    <t xml:space="preserve">  V tom:</t>
  </si>
  <si>
    <t>Celkom</t>
  </si>
  <si>
    <t>Kód</t>
  </si>
  <si>
    <t>Bežný</t>
  </si>
  <si>
    <t>Kapitálový</t>
  </si>
  <si>
    <t>v €</t>
  </si>
  <si>
    <t xml:space="preserve"> </t>
  </si>
  <si>
    <t>610    Mzdy</t>
  </si>
  <si>
    <t>611 Tarifný plat</t>
  </si>
  <si>
    <t>620 Poistné a príspevok do poisť.</t>
  </si>
  <si>
    <t>631 Cestovné náhrady</t>
  </si>
  <si>
    <t>631001 Tuzemské</t>
  </si>
  <si>
    <t>632 Energie, voda a komunikácie</t>
  </si>
  <si>
    <t>632002 Vodné, stočné</t>
  </si>
  <si>
    <t>633 Materiál</t>
  </si>
  <si>
    <t>633006 Všeobecný materiál</t>
  </si>
  <si>
    <t>635 Rutinná a štandardná údržba</t>
  </si>
  <si>
    <t>636 Nájomné</t>
  </si>
  <si>
    <t>637 Služby</t>
  </si>
  <si>
    <t>642 Bež.tran. jednotlivcom a nezis.org.</t>
  </si>
  <si>
    <t>9.1.2.1 - Základné vzdelanie - asistent učiteľa</t>
  </si>
  <si>
    <t>610 Mzdy</t>
  </si>
  <si>
    <t>620 Poistné a príspevok do poisť</t>
  </si>
  <si>
    <t>9.1.2.1 - Základné vzdelanie - vzdelávacie poukazy</t>
  </si>
  <si>
    <t>9.1.2.1 - Základné vzdelanie - SZP</t>
  </si>
  <si>
    <t>633010 Prac. Odevy, obuv</t>
  </si>
  <si>
    <t>637027 Odmeny na základe dohôd</t>
  </si>
  <si>
    <t>09.5.0.1  Školský klub detí</t>
  </si>
  <si>
    <t>09.5.0 Centrum voľného času</t>
  </si>
  <si>
    <t>SPOLU VÝDAVKY:</t>
  </si>
  <si>
    <t xml:space="preserve">            </t>
  </si>
  <si>
    <t>614 6 Odmeny z vl.príjmov</t>
  </si>
  <si>
    <t>9.1.2.1. - Základné vzdelanie - primárne</t>
  </si>
  <si>
    <t>620 Poistné a príspevok do poisťovní</t>
  </si>
  <si>
    <t>632001 2  Plyn</t>
  </si>
  <si>
    <t>632001 1  Elektrická energia</t>
  </si>
  <si>
    <t>632001 3  Tepelná energia</t>
  </si>
  <si>
    <t>632003 1  Poštové poplatky</t>
  </si>
  <si>
    <t>632003 2  Telekomunikačné poplatky</t>
  </si>
  <si>
    <t xml:space="preserve">633001  Interiérové vybavenie </t>
  </si>
  <si>
    <t>633002  Výpočtová technika</t>
  </si>
  <si>
    <t>633004  Prevádzkové stroje a zariad.</t>
  </si>
  <si>
    <t>633006  Všeobecný materiál</t>
  </si>
  <si>
    <t>633010  Pracovné odevy, obuv</t>
  </si>
  <si>
    <t>633016  Palivá ako zdroj energie</t>
  </si>
  <si>
    <t>633016  Reprezentačné</t>
  </si>
  <si>
    <t>635002  Výpočtovej techniky</t>
  </si>
  <si>
    <t>635004  Prevádzkových strojov, prístr. a zariadení</t>
  </si>
  <si>
    <t>635006  Budov, objektov a ich častí</t>
  </si>
  <si>
    <t>635009  Softvéru</t>
  </si>
  <si>
    <t>636002  Priečinok, vys.zariadenie, Lindstrom</t>
  </si>
  <si>
    <t>637001  Školenia, kurzy, semináre</t>
  </si>
  <si>
    <t>637004  Všeobecné služby</t>
  </si>
  <si>
    <t>637011  Štúdie, posudky rozbor vody</t>
  </si>
  <si>
    <t>637012  Poplatky a odvody</t>
  </si>
  <si>
    <t>637014  Stravovanie</t>
  </si>
  <si>
    <t>637015  Poistné DDS</t>
  </si>
  <si>
    <t>637016  Prídel do soc. fondu</t>
  </si>
  <si>
    <t>637035  Komunálny odpad</t>
  </si>
  <si>
    <t>642012  Odstupné</t>
  </si>
  <si>
    <t>642014  Dopravné</t>
  </si>
  <si>
    <t>642015  Na nemocencké dávky</t>
  </si>
  <si>
    <t>700  Kapitálové výdavky</t>
  </si>
  <si>
    <t>717002  Výmena podlahoviny v triedach</t>
  </si>
  <si>
    <t>614  Odmeny</t>
  </si>
  <si>
    <t>633009  Učebné pomôcky, knihy, noviny, časopisy</t>
  </si>
  <si>
    <t>633009  Učebné pomôcky</t>
  </si>
  <si>
    <t>9.1.2.1 - Základné vzdelanie - vlastné príjmy</t>
  </si>
  <si>
    <t>9.1.2.1 - Základné vzdelanie - Bazén</t>
  </si>
  <si>
    <t>632002  Vodné, stočné</t>
  </si>
  <si>
    <t>635  Rutinná a štandartná údržba</t>
  </si>
  <si>
    <t>635004  Prevádzkových strojov prístrojov</t>
  </si>
  <si>
    <t>637011  Štúdie, posudky, rozbor vody</t>
  </si>
  <si>
    <t>9.2.1.1. - Základné vzdelanie - nižšie sekundárne</t>
  </si>
  <si>
    <t>9.2.1.1 - Základné vzdelanie - asistent učiteľa</t>
  </si>
  <si>
    <t>9.2.1.1 - Základné vzdelanie - vzdelávacie poukazy</t>
  </si>
  <si>
    <t>9.2.1.1 - Základné vzdelanie - SZP</t>
  </si>
  <si>
    <t>9.2.1.1 - Základné vzdelanie - vlastné príjmy</t>
  </si>
  <si>
    <t>9.2.1.1 - Základné vzdelanie - Bazén</t>
  </si>
  <si>
    <t>610  Mzdy</t>
  </si>
  <si>
    <t>632001 2 6  Plyn z vl.príjmov</t>
  </si>
  <si>
    <t>632001 1 6  Elek.energia z vl.príjmov</t>
  </si>
  <si>
    <t>632001 3 6  Tepelná energia z vl.príjmov</t>
  </si>
  <si>
    <t>632002 6  Vodné, stočné z vl.príjmov</t>
  </si>
  <si>
    <t>633001 6  Interiérové vybavenie z vl.príjmov</t>
  </si>
  <si>
    <t>633009 6  Učebné pomôcky z vl.príjmov</t>
  </si>
  <si>
    <t>637015 6  Poistné DDS z vl.príjmov</t>
  </si>
  <si>
    <t>637016 6  Prídel do soc. Fondu z vl.príjmov</t>
  </si>
  <si>
    <t>642015  Na nemocenské dávky</t>
  </si>
  <si>
    <t>610   Mzdy</t>
  </si>
  <si>
    <t>632001  Elektrická energia</t>
  </si>
  <si>
    <t xml:space="preserve">632002  Vodné,stočné </t>
  </si>
  <si>
    <t>633009 8  Učebné pomôcky vzdelávací poukaz</t>
  </si>
  <si>
    <t>09.6.0.2   Školská jedáleň</t>
  </si>
  <si>
    <t>631001  Tuzemské</t>
  </si>
  <si>
    <t>632003 2 6  Telekomunikačné poplatky z vl.príjmov</t>
  </si>
  <si>
    <t>633004 6  Prevádzkové stroje z vl.príjmov</t>
  </si>
  <si>
    <t>633004  Prevádzkové stroje, zariadenia (4.11)</t>
  </si>
  <si>
    <t>633010  6  Pracovné odevy, obuv z vl.príjmov</t>
  </si>
  <si>
    <t>633013  Softvér</t>
  </si>
  <si>
    <t>635004 6  Strojov, prístrojov a zariadení z vl.príjmov</t>
  </si>
  <si>
    <t>637001  Školenia</t>
  </si>
  <si>
    <t>637004 6  Všeobecné služby z vl.príjmov</t>
  </si>
  <si>
    <t>637015 6 Poistné DDS z vl.príjmov</t>
  </si>
  <si>
    <t>637027 6  Dohody z vl.príjmov</t>
  </si>
  <si>
    <t>713004  Kuchynský robot</t>
  </si>
  <si>
    <t>718004  Rekonštrukcia vzduchotechniky</t>
  </si>
  <si>
    <t>09.6.0.3   Školská jedáleň</t>
  </si>
  <si>
    <t>Vyhotovila : P.Pauerová</t>
  </si>
  <si>
    <t xml:space="preserve">            riaditeľ školy</t>
  </si>
  <si>
    <t>PaedDr. Jaroslav Čomaj</t>
  </si>
  <si>
    <t>632001 3 Tepelná energia</t>
  </si>
  <si>
    <t>Schválený rozpočet na rok 2015</t>
  </si>
  <si>
    <t>Výdavky podľa ekonomickej kvasifikácie</t>
  </si>
  <si>
    <t>4.1.</t>
  </si>
  <si>
    <t>Program : Vzdelávanie</t>
  </si>
  <si>
    <t>Podprogram : Základná škola</t>
  </si>
  <si>
    <t>610 - 614 Mzdy</t>
  </si>
  <si>
    <t>621-625 Poistné a príspevok do poisťovní</t>
  </si>
  <si>
    <t>610-614 Mzdy</t>
  </si>
  <si>
    <t xml:space="preserve">              %</t>
  </si>
  <si>
    <t>%</t>
  </si>
  <si>
    <t xml:space="preserve">                                                                                                                                           (prehľad výdavkov podľa schválených programov)</t>
  </si>
  <si>
    <t>4.4.</t>
  </si>
  <si>
    <t>Podprogram : Centrum voľného času</t>
  </si>
  <si>
    <t>4.5.</t>
  </si>
  <si>
    <t>Podprogram : Školský klub detí</t>
  </si>
  <si>
    <t>4.7.</t>
  </si>
  <si>
    <t>Podprogram : Školská jedáleň</t>
  </si>
  <si>
    <t>633004  Všeobecný materiál - aktivačná činnosť</t>
  </si>
  <si>
    <t>633010  Pracovné odevy - aktivačná činnosť</t>
  </si>
  <si>
    <t>642013  Odchodné</t>
  </si>
  <si>
    <t>642014  Dopravné z roku 2014</t>
  </si>
  <si>
    <t>716  Projektová dokumentácia pre tepelnú reguláciu školy</t>
  </si>
  <si>
    <t>717 001 Detské ihrisko</t>
  </si>
  <si>
    <t>9.1.2.1 - Základné vzdelanie - mimoriadne výsledky žiakov</t>
  </si>
  <si>
    <t>633009 Učebné pomôcky pre žiakov z mimor.výsledkami</t>
  </si>
  <si>
    <t>633004  Prevádzkové stroje a zariad. - aktivačná činnosť</t>
  </si>
  <si>
    <t>637015  Poistné - aktivačná činnosť</t>
  </si>
  <si>
    <t>717 001  Detské ihrisko</t>
  </si>
  <si>
    <t>9.2.1.1 - Základné vzdelanie - mimoriadne výsledky žiakov</t>
  </si>
  <si>
    <t>637016  Prídel do soc.fondu</t>
  </si>
  <si>
    <t xml:space="preserve">635004   Strojov, prístrojov a zariadení </t>
  </si>
  <si>
    <t xml:space="preserve">637015 Poistné DDS </t>
  </si>
  <si>
    <t xml:space="preserve">637027  Dohody </t>
  </si>
  <si>
    <t xml:space="preserve">635004  Strojov, prístrojov a zariadení </t>
  </si>
  <si>
    <t xml:space="preserve">637012 6  Poplatky a odvody </t>
  </si>
  <si>
    <t>633001 6 Interiérové vybavenie z vl.príjmov</t>
  </si>
  <si>
    <t>633006 6 Všeobecný materiál z vl.príjmov</t>
  </si>
  <si>
    <t>V Seredi dňa :  3.3.2016</t>
  </si>
  <si>
    <t>Plnenie programového rozpočtu Základnej školy Juraja Fándlyho Sereď k 31.12.2015</t>
  </si>
  <si>
    <t>Plnenie rozpočtu k 31.12.2015</t>
  </si>
  <si>
    <t>637027  Dohody</t>
  </si>
  <si>
    <t>621-625  Poistné a príspevok do poisťovní</t>
  </si>
  <si>
    <t>632001 2  Plyn - bazén z vl. Príjmov</t>
  </si>
  <si>
    <t>633010 Prac.odevy, obuv</t>
  </si>
  <si>
    <t xml:space="preserve">637015  Poistné DDS </t>
  </si>
  <si>
    <t>Hmotná núdza</t>
  </si>
  <si>
    <t>642026 Učebné pomôcky</t>
  </si>
  <si>
    <t>633011 Potraviny</t>
  </si>
  <si>
    <t>637016    Prídel do soc. Fondu</t>
  </si>
  <si>
    <t>633006  Všeobecný materiál poslanecké</t>
  </si>
  <si>
    <t>633009  Učebné pomôcky z darov</t>
  </si>
  <si>
    <t>633011  Projekt ovocie</t>
  </si>
</sst>
</file>

<file path=xl/styles.xml><?xml version="1.0" encoding="utf-8"?>
<styleSheet xmlns="http://schemas.openxmlformats.org/spreadsheetml/2006/main">
  <fonts count="23">
    <font>
      <sz val="10"/>
      <name val="Arial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6"/>
      <color theme="7" tint="-0.499984740745262"/>
      <name val="Arial CE"/>
      <family val="2"/>
      <charset val="238"/>
    </font>
    <font>
      <sz val="12"/>
      <name val="Arial"/>
      <family val="2"/>
      <charset val="238"/>
    </font>
    <font>
      <b/>
      <sz val="7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Times New Roman"/>
      <family val="1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Arial"/>
      <family val="2"/>
      <charset val="238"/>
    </font>
    <font>
      <b/>
      <sz val="11"/>
      <name val="Arial CE"/>
      <family val="2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sz val="16"/>
      <color theme="7" tint="-0.499984740745262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bgColor theme="0"/>
      </patternFill>
    </fill>
    <fill>
      <patternFill patternType="gray0625">
        <bgColor theme="0" tint="-0.14999847407452621"/>
      </patternFill>
    </fill>
    <fill>
      <patternFill patternType="gray125"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gray0625"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gray0625">
        <bgColor theme="9" tint="0.39997558519241921"/>
      </patternFill>
    </fill>
    <fill>
      <patternFill patternType="gray125">
        <bgColor theme="0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74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3" fontId="11" fillId="2" borderId="3" xfId="0" applyNumberFormat="1" applyFont="1" applyFill="1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3" fontId="11" fillId="0" borderId="6" xfId="0" applyNumberFormat="1" applyFont="1" applyBorder="1"/>
    <xf numFmtId="3" fontId="11" fillId="0" borderId="3" xfId="0" applyNumberFormat="1" applyFont="1" applyBorder="1"/>
    <xf numFmtId="3" fontId="11" fillId="0" borderId="4" xfId="0" applyNumberFormat="1" applyFont="1" applyBorder="1"/>
    <xf numFmtId="0" fontId="10" fillId="0" borderId="3" xfId="0" applyFont="1" applyBorder="1"/>
    <xf numFmtId="0" fontId="1" fillId="0" borderId="3" xfId="0" applyFont="1" applyBorder="1"/>
    <xf numFmtId="3" fontId="9" fillId="2" borderId="3" xfId="0" applyNumberFormat="1" applyFont="1" applyFill="1" applyBorder="1"/>
    <xf numFmtId="3" fontId="12" fillId="0" borderId="6" xfId="1" applyNumberFormat="1" applyFont="1" applyFill="1" applyBorder="1"/>
    <xf numFmtId="3" fontId="12" fillId="0" borderId="3" xfId="1" applyNumberFormat="1" applyFont="1" applyFill="1" applyBorder="1"/>
    <xf numFmtId="3" fontId="10" fillId="0" borderId="6" xfId="1" applyNumberFormat="1" applyFont="1" applyFill="1" applyBorder="1"/>
    <xf numFmtId="3" fontId="10" fillId="0" borderId="3" xfId="1" applyNumberFormat="1" applyFont="1" applyFill="1" applyBorder="1"/>
    <xf numFmtId="3" fontId="10" fillId="0" borderId="4" xfId="1" applyNumberFormat="1" applyFont="1" applyFill="1" applyBorder="1"/>
    <xf numFmtId="0" fontId="10" fillId="0" borderId="4" xfId="0" applyFont="1" applyBorder="1"/>
    <xf numFmtId="0" fontId="10" fillId="0" borderId="0" xfId="0" applyFont="1"/>
    <xf numFmtId="3" fontId="12" fillId="0" borderId="4" xfId="1" applyNumberFormat="1" applyFont="1" applyFill="1" applyBorder="1"/>
    <xf numFmtId="3" fontId="9" fillId="0" borderId="6" xfId="0" applyNumberFormat="1" applyFont="1" applyBorder="1"/>
    <xf numFmtId="3" fontId="9" fillId="0" borderId="3" xfId="0" applyNumberFormat="1" applyFont="1" applyBorder="1"/>
    <xf numFmtId="3" fontId="9" fillId="0" borderId="4" xfId="0" applyNumberFormat="1" applyFont="1" applyBorder="1"/>
    <xf numFmtId="0" fontId="12" fillId="0" borderId="3" xfId="0" applyFont="1" applyBorder="1"/>
    <xf numFmtId="0" fontId="15" fillId="0" borderId="3" xfId="0" applyFont="1" applyBorder="1"/>
    <xf numFmtId="0" fontId="15" fillId="0" borderId="4" xfId="0" applyFont="1" applyBorder="1"/>
    <xf numFmtId="0" fontId="15" fillId="0" borderId="0" xfId="0" applyFont="1"/>
    <xf numFmtId="3" fontId="11" fillId="0" borderId="6" xfId="0" applyNumberFormat="1" applyFont="1" applyFill="1" applyBorder="1"/>
    <xf numFmtId="3" fontId="11" fillId="0" borderId="3" xfId="0" applyNumberFormat="1" applyFont="1" applyFill="1" applyBorder="1"/>
    <xf numFmtId="3" fontId="11" fillId="4" borderId="5" xfId="0" applyNumberFormat="1" applyFont="1" applyFill="1" applyBorder="1"/>
    <xf numFmtId="3" fontId="11" fillId="4" borderId="4" xfId="0" applyNumberFormat="1" applyFont="1" applyFill="1" applyBorder="1"/>
    <xf numFmtId="3" fontId="11" fillId="0" borderId="4" xfId="0" applyNumberFormat="1" applyFont="1" applyFill="1" applyBorder="1"/>
    <xf numFmtId="3" fontId="9" fillId="0" borderId="6" xfId="0" applyNumberFormat="1" applyFont="1" applyFill="1" applyBorder="1"/>
    <xf numFmtId="3" fontId="9" fillId="0" borderId="3" xfId="0" applyNumberFormat="1" applyFont="1" applyFill="1" applyBorder="1"/>
    <xf numFmtId="3" fontId="9" fillId="0" borderId="4" xfId="0" applyNumberFormat="1" applyFont="1" applyFill="1" applyBorder="1"/>
    <xf numFmtId="3" fontId="12" fillId="0" borderId="6" xfId="0" applyNumberFormat="1" applyFont="1" applyFill="1" applyBorder="1"/>
    <xf numFmtId="3" fontId="12" fillId="0" borderId="3" xfId="0" applyNumberFormat="1" applyFont="1" applyFill="1" applyBorder="1"/>
    <xf numFmtId="3" fontId="12" fillId="0" borderId="4" xfId="0" applyNumberFormat="1" applyFont="1" applyFill="1" applyBorder="1"/>
    <xf numFmtId="0" fontId="12" fillId="0" borderId="0" xfId="0" applyFont="1"/>
    <xf numFmtId="3" fontId="12" fillId="0" borderId="4" xfId="0" applyNumberFormat="1" applyFont="1" applyBorder="1"/>
    <xf numFmtId="3" fontId="14" fillId="0" borderId="6" xfId="0" applyNumberFormat="1" applyFont="1" applyBorder="1"/>
    <xf numFmtId="3" fontId="14" fillId="0" borderId="3" xfId="0" applyNumberFormat="1" applyFont="1" applyBorder="1"/>
    <xf numFmtId="0" fontId="1" fillId="0" borderId="10" xfId="0" applyFont="1" applyBorder="1"/>
    <xf numFmtId="3" fontId="1" fillId="0" borderId="6" xfId="1" applyNumberFormat="1" applyFont="1" applyFill="1" applyBorder="1"/>
    <xf numFmtId="3" fontId="1" fillId="0" borderId="3" xfId="1" applyNumberFormat="1" applyFont="1" applyFill="1" applyBorder="1"/>
    <xf numFmtId="3" fontId="1" fillId="0" borderId="4" xfId="1" applyNumberFormat="1" applyFont="1" applyFill="1" applyBorder="1"/>
    <xf numFmtId="0" fontId="12" fillId="0" borderId="11" xfId="0" applyFont="1" applyBorder="1"/>
    <xf numFmtId="3" fontId="1" fillId="0" borderId="6" xfId="0" applyNumberFormat="1" applyFont="1" applyBorder="1"/>
    <xf numFmtId="3" fontId="1" fillId="0" borderId="3" xfId="0" applyNumberFormat="1" applyFont="1" applyBorder="1"/>
    <xf numFmtId="0" fontId="12" fillId="0" borderId="10" xfId="0" applyFont="1" applyBorder="1"/>
    <xf numFmtId="0" fontId="1" fillId="0" borderId="10" xfId="0" applyFont="1" applyFill="1" applyBorder="1"/>
    <xf numFmtId="0" fontId="1" fillId="5" borderId="3" xfId="0" applyFont="1" applyFill="1" applyBorder="1"/>
    <xf numFmtId="0" fontId="2" fillId="0" borderId="3" xfId="0" applyFont="1" applyBorder="1"/>
    <xf numFmtId="0" fontId="2" fillId="0" borderId="4" xfId="0" applyFont="1" applyBorder="1"/>
    <xf numFmtId="3" fontId="11" fillId="0" borderId="5" xfId="0" applyNumberFormat="1" applyFont="1" applyFill="1" applyBorder="1"/>
    <xf numFmtId="0" fontId="1" fillId="0" borderId="11" xfId="0" applyFont="1" applyBorder="1"/>
    <xf numFmtId="3" fontId="11" fillId="2" borderId="6" xfId="0" applyNumberFormat="1" applyFont="1" applyFill="1" applyBorder="1"/>
    <xf numFmtId="3" fontId="11" fillId="2" borderId="4" xfId="0" applyNumberFormat="1" applyFont="1" applyFill="1" applyBorder="1"/>
    <xf numFmtId="3" fontId="10" fillId="0" borderId="0" xfId="0" applyNumberFormat="1" applyFont="1"/>
    <xf numFmtId="3" fontId="15" fillId="0" borderId="0" xfId="0" applyNumberFormat="1" applyFont="1"/>
    <xf numFmtId="9" fontId="2" fillId="0" borderId="0" xfId="0" applyNumberFormat="1" applyFont="1"/>
    <xf numFmtId="0" fontId="5" fillId="7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0" fontId="0" fillId="9" borderId="0" xfId="0" applyFill="1"/>
    <xf numFmtId="3" fontId="0" fillId="11" borderId="13" xfId="0" applyNumberFormat="1" applyFill="1" applyBorder="1"/>
    <xf numFmtId="3" fontId="9" fillId="12" borderId="3" xfId="0" applyNumberFormat="1" applyFont="1" applyFill="1" applyBorder="1"/>
    <xf numFmtId="3" fontId="12" fillId="12" borderId="3" xfId="0" applyNumberFormat="1" applyFont="1" applyFill="1" applyBorder="1"/>
    <xf numFmtId="0" fontId="1" fillId="0" borderId="3" xfId="0" applyNumberFormat="1" applyFont="1" applyBorder="1"/>
    <xf numFmtId="0" fontId="8" fillId="7" borderId="3" xfId="0" applyFont="1" applyFill="1" applyBorder="1" applyAlignment="1">
      <alignment horizontal="center"/>
    </xf>
    <xf numFmtId="0" fontId="8" fillId="13" borderId="3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  <xf numFmtId="0" fontId="1" fillId="5" borderId="0" xfId="0" applyFont="1" applyFill="1" applyBorder="1"/>
    <xf numFmtId="3" fontId="1" fillId="0" borderId="0" xfId="0" applyNumberFormat="1" applyFont="1" applyFill="1" applyBorder="1"/>
    <xf numFmtId="0" fontId="13" fillId="6" borderId="0" xfId="0" applyFont="1" applyFill="1" applyBorder="1"/>
    <xf numFmtId="0" fontId="5" fillId="7" borderId="8" xfId="0" applyFont="1" applyFill="1" applyBorder="1" applyAlignment="1">
      <alignment horizontal="center"/>
    </xf>
    <xf numFmtId="0" fontId="17" fillId="7" borderId="6" xfId="0" applyFont="1" applyFill="1" applyBorder="1" applyAlignment="1">
      <alignment horizontal="center"/>
    </xf>
    <xf numFmtId="0" fontId="17" fillId="7" borderId="9" xfId="0" applyFont="1" applyFill="1" applyBorder="1" applyAlignment="1">
      <alignment horizontal="center"/>
    </xf>
    <xf numFmtId="0" fontId="17" fillId="7" borderId="7" xfId="0" applyFont="1" applyFill="1" applyBorder="1" applyAlignment="1">
      <alignment horizontal="center"/>
    </xf>
    <xf numFmtId="0" fontId="17" fillId="7" borderId="8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7" fillId="7" borderId="14" xfId="0" applyFont="1" applyFill="1" applyBorder="1" applyAlignment="1">
      <alignment horizontal="center"/>
    </xf>
    <xf numFmtId="0" fontId="17" fillId="7" borderId="11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17" fillId="13" borderId="12" xfId="0" applyFont="1" applyFill="1" applyBorder="1" applyAlignment="1">
      <alignment horizontal="left"/>
    </xf>
    <xf numFmtId="0" fontId="17" fillId="13" borderId="3" xfId="0" applyFont="1" applyFill="1" applyBorder="1" applyAlignment="1">
      <alignment horizontal="center"/>
    </xf>
    <xf numFmtId="0" fontId="17" fillId="12" borderId="12" xfId="0" applyFont="1" applyFill="1" applyBorder="1"/>
    <xf numFmtId="3" fontId="15" fillId="12" borderId="3" xfId="0" applyNumberFormat="1" applyFont="1" applyFill="1" applyBorder="1"/>
    <xf numFmtId="0" fontId="17" fillId="0" borderId="4" xfId="0" applyFont="1" applyBorder="1"/>
    <xf numFmtId="3" fontId="19" fillId="2" borderId="3" xfId="0" applyNumberFormat="1" applyFont="1" applyFill="1" applyBorder="1"/>
    <xf numFmtId="3" fontId="19" fillId="3" borderId="3" xfId="0" applyNumberFormat="1" applyFont="1" applyFill="1" applyBorder="1"/>
    <xf numFmtId="0" fontId="20" fillId="0" borderId="4" xfId="0" applyFont="1" applyBorder="1"/>
    <xf numFmtId="3" fontId="21" fillId="2" borderId="3" xfId="0" applyNumberFormat="1" applyFont="1" applyFill="1" applyBorder="1"/>
    <xf numFmtId="3" fontId="21" fillId="3" borderId="4" xfId="0" applyNumberFormat="1" applyFont="1" applyFill="1" applyBorder="1"/>
    <xf numFmtId="3" fontId="21" fillId="3" borderId="3" xfId="0" applyNumberFormat="1" applyFont="1" applyFill="1" applyBorder="1"/>
    <xf numFmtId="3" fontId="21" fillId="3" borderId="6" xfId="0" applyNumberFormat="1" applyFont="1" applyFill="1" applyBorder="1"/>
    <xf numFmtId="3" fontId="19" fillId="3" borderId="6" xfId="0" applyNumberFormat="1" applyFont="1" applyFill="1" applyBorder="1"/>
    <xf numFmtId="0" fontId="21" fillId="3" borderId="6" xfId="0" applyNumberFormat="1" applyFont="1" applyFill="1" applyBorder="1"/>
    <xf numFmtId="3" fontId="19" fillId="12" borderId="3" xfId="0" applyNumberFormat="1" applyFont="1" applyFill="1" applyBorder="1"/>
    <xf numFmtId="3" fontId="19" fillId="3" borderId="4" xfId="0" applyNumberFormat="1" applyFont="1" applyFill="1" applyBorder="1"/>
    <xf numFmtId="3" fontId="21" fillId="3" borderId="5" xfId="0" applyNumberFormat="1" applyFont="1" applyFill="1" applyBorder="1"/>
    <xf numFmtId="0" fontId="15" fillId="0" borderId="5" xfId="0" applyFont="1" applyBorder="1"/>
    <xf numFmtId="0" fontId="2" fillId="0" borderId="5" xfId="0" applyFont="1" applyBorder="1"/>
    <xf numFmtId="0" fontId="2" fillId="0" borderId="0" xfId="0" applyFont="1" applyBorder="1"/>
    <xf numFmtId="0" fontId="7" fillId="14" borderId="6" xfId="0" applyFont="1" applyFill="1" applyBorder="1" applyAlignment="1">
      <alignment horizontal="center"/>
    </xf>
    <xf numFmtId="0" fontId="7" fillId="14" borderId="3" xfId="0" applyFont="1" applyFill="1" applyBorder="1" applyAlignment="1">
      <alignment horizontal="center"/>
    </xf>
    <xf numFmtId="9" fontId="2" fillId="9" borderId="0" xfId="0" applyNumberFormat="1" applyFont="1" applyFill="1"/>
    <xf numFmtId="0" fontId="17" fillId="10" borderId="12" xfId="0" applyFont="1" applyFill="1" applyBorder="1" applyAlignment="1">
      <alignment horizontal="left"/>
    </xf>
    <xf numFmtId="0" fontId="17" fillId="10" borderId="3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3" fontId="17" fillId="10" borderId="3" xfId="0" applyNumberFormat="1" applyFont="1" applyFill="1" applyBorder="1" applyAlignment="1">
      <alignment horizontal="right"/>
    </xf>
    <xf numFmtId="0" fontId="17" fillId="7" borderId="12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17" fillId="7" borderId="17" xfId="0" applyFont="1" applyFill="1" applyBorder="1" applyAlignment="1">
      <alignment horizontal="center"/>
    </xf>
    <xf numFmtId="0" fontId="22" fillId="0" borderId="4" xfId="0" applyFont="1" applyBorder="1"/>
    <xf numFmtId="0" fontId="17" fillId="7" borderId="4" xfId="0" applyFont="1" applyFill="1" applyBorder="1" applyAlignment="1">
      <alignment horizontal="center"/>
    </xf>
    <xf numFmtId="0" fontId="17" fillId="7" borderId="16" xfId="0" applyFont="1" applyFill="1" applyBorder="1" applyAlignment="1">
      <alignment horizontal="center"/>
    </xf>
    <xf numFmtId="0" fontId="17" fillId="7" borderId="12" xfId="0" applyFont="1" applyFill="1" applyBorder="1" applyAlignment="1"/>
    <xf numFmtId="0" fontId="17" fillId="7" borderId="12" xfId="0" applyFont="1" applyFill="1" applyBorder="1" applyAlignment="1">
      <alignment horizontal="right"/>
    </xf>
    <xf numFmtId="0" fontId="17" fillId="7" borderId="14" xfId="0" applyFont="1" applyFill="1" applyBorder="1" applyAlignment="1"/>
    <xf numFmtId="0" fontId="17" fillId="7" borderId="1" xfId="0" applyFont="1" applyFill="1" applyBorder="1" applyAlignment="1"/>
    <xf numFmtId="0" fontId="17" fillId="7" borderId="5" xfId="0" applyFont="1" applyFill="1" applyBorder="1" applyAlignment="1">
      <alignment horizontal="center"/>
    </xf>
    <xf numFmtId="0" fontId="17" fillId="13" borderId="11" xfId="0" applyFont="1" applyFill="1" applyBorder="1" applyAlignment="1">
      <alignment horizontal="center"/>
    </xf>
    <xf numFmtId="4" fontId="15" fillId="12" borderId="3" xfId="0" applyNumberFormat="1" applyFont="1" applyFill="1" applyBorder="1"/>
    <xf numFmtId="4" fontId="19" fillId="3" borderId="3" xfId="0" applyNumberFormat="1" applyFont="1" applyFill="1" applyBorder="1"/>
    <xf numFmtId="4" fontId="21" fillId="3" borderId="3" xfId="0" applyNumberFormat="1" applyFont="1" applyFill="1" applyBorder="1"/>
    <xf numFmtId="4" fontId="21" fillId="3" borderId="6" xfId="0" applyNumberFormat="1" applyFont="1" applyFill="1" applyBorder="1"/>
    <xf numFmtId="4" fontId="19" fillId="3" borderId="6" xfId="0" applyNumberFormat="1" applyFont="1" applyFill="1" applyBorder="1"/>
    <xf numFmtId="4" fontId="19" fillId="12" borderId="3" xfId="0" applyNumberFormat="1" applyFont="1" applyFill="1" applyBorder="1"/>
    <xf numFmtId="4" fontId="21" fillId="3" borderId="4" xfId="0" applyNumberFormat="1" applyFont="1" applyFill="1" applyBorder="1"/>
    <xf numFmtId="4" fontId="21" fillId="3" borderId="5" xfId="0" applyNumberFormat="1" applyFont="1" applyFill="1" applyBorder="1"/>
    <xf numFmtId="4" fontId="2" fillId="0" borderId="0" xfId="0" applyNumberFormat="1" applyFont="1" applyBorder="1"/>
    <xf numFmtId="2" fontId="19" fillId="12" borderId="3" xfId="0" applyNumberFormat="1" applyFont="1" applyFill="1" applyBorder="1"/>
    <xf numFmtId="4" fontId="17" fillId="10" borderId="3" xfId="0" applyNumberFormat="1" applyFont="1" applyFill="1" applyBorder="1" applyAlignment="1">
      <alignment horizontal="right"/>
    </xf>
    <xf numFmtId="2" fontId="21" fillId="3" borderId="3" xfId="0" applyNumberFormat="1" applyFont="1" applyFill="1" applyBorder="1"/>
    <xf numFmtId="2" fontId="17" fillId="10" borderId="3" xfId="0" applyNumberFormat="1" applyFont="1" applyFill="1" applyBorder="1" applyAlignment="1">
      <alignment horizontal="right"/>
    </xf>
    <xf numFmtId="2" fontId="21" fillId="9" borderId="0" xfId="0" applyNumberFormat="1" applyFont="1" applyFill="1" applyBorder="1"/>
    <xf numFmtId="2" fontId="19" fillId="3" borderId="3" xfId="0" applyNumberFormat="1" applyFont="1" applyFill="1" applyBorder="1"/>
    <xf numFmtId="3" fontId="9" fillId="2" borderId="6" xfId="0" applyNumberFormat="1" applyFont="1" applyFill="1" applyBorder="1"/>
    <xf numFmtId="3" fontId="21" fillId="2" borderId="3" xfId="0" applyNumberFormat="1" applyFont="1" applyFill="1" applyBorder="1" applyAlignment="1">
      <alignment horizontal="right"/>
    </xf>
    <xf numFmtId="0" fontId="10" fillId="0" borderId="10" xfId="0" applyFont="1" applyBorder="1"/>
    <xf numFmtId="3" fontId="15" fillId="11" borderId="13" xfId="0" applyNumberFormat="1" applyFont="1" applyFill="1" applyBorder="1"/>
    <xf numFmtId="4" fontId="15" fillId="11" borderId="18" xfId="0" applyNumberFormat="1" applyFont="1" applyFill="1" applyBorder="1"/>
    <xf numFmtId="4" fontId="15" fillId="11" borderId="20" xfId="0" applyNumberFormat="1" applyFont="1" applyFill="1" applyBorder="1"/>
    <xf numFmtId="2" fontId="17" fillId="10" borderId="19" xfId="0" applyNumberFormat="1" applyFont="1" applyFill="1" applyBorder="1" applyAlignment="1">
      <alignment horizontal="right"/>
    </xf>
    <xf numFmtId="0" fontId="1" fillId="5" borderId="4" xfId="0" applyFont="1" applyFill="1" applyBorder="1"/>
    <xf numFmtId="3" fontId="0" fillId="11" borderId="15" xfId="0" applyNumberFormat="1" applyFill="1" applyBorder="1"/>
    <xf numFmtId="0" fontId="15" fillId="11" borderId="21" xfId="0" applyFont="1" applyFill="1" applyBorder="1"/>
    <xf numFmtId="2" fontId="17" fillId="10" borderId="13" xfId="0" applyNumberFormat="1" applyFont="1" applyFill="1" applyBorder="1" applyAlignment="1">
      <alignment horizontal="right"/>
    </xf>
    <xf numFmtId="4" fontId="17" fillId="10" borderId="13" xfId="0" applyNumberFormat="1" applyFont="1" applyFill="1" applyBorder="1" applyAlignment="1">
      <alignment horizontal="right"/>
    </xf>
    <xf numFmtId="2" fontId="17" fillId="10" borderId="22" xfId="0" applyNumberFormat="1" applyFont="1" applyFill="1" applyBorder="1" applyAlignment="1">
      <alignment horizontal="right"/>
    </xf>
    <xf numFmtId="0" fontId="18" fillId="7" borderId="4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0" fontId="2" fillId="7" borderId="6" xfId="0" applyFont="1" applyFill="1" applyBorder="1" applyAlignment="1">
      <alignment horizontal="center" wrapText="1"/>
    </xf>
    <xf numFmtId="0" fontId="18" fillId="7" borderId="5" xfId="0" applyFont="1" applyFill="1" applyBorder="1" applyAlignment="1">
      <alignment horizontal="center" wrapText="1"/>
    </xf>
    <xf numFmtId="0" fontId="18" fillId="7" borderId="16" xfId="0" applyFont="1" applyFill="1" applyBorder="1" applyAlignment="1">
      <alignment horizontal="center" wrapText="1"/>
    </xf>
    <xf numFmtId="0" fontId="18" fillId="7" borderId="17" xfId="0" applyFont="1" applyFill="1" applyBorder="1" applyAlignment="1">
      <alignment horizontal="center" wrapText="1"/>
    </xf>
    <xf numFmtId="0" fontId="16" fillId="9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/>
    </xf>
    <xf numFmtId="0" fontId="1" fillId="0" borderId="1" xfId="0" applyFont="1" applyBorder="1" applyAlignment="1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67"/>
  <sheetViews>
    <sheetView tabSelected="1" topLeftCell="B1" workbookViewId="0">
      <selection activeCell="K340" sqref="K340"/>
    </sheetView>
  </sheetViews>
  <sheetFormatPr defaultRowHeight="13.2"/>
  <cols>
    <col min="1" max="1" width="5.6640625" customWidth="1"/>
    <col min="2" max="2" width="53.77734375" customWidth="1"/>
    <col min="3" max="3" width="14.88671875" customWidth="1"/>
    <col min="4" max="4" width="11.44140625" hidden="1" customWidth="1"/>
    <col min="5" max="5" width="14.77734375" customWidth="1"/>
    <col min="6" max="6" width="16" customWidth="1"/>
    <col min="7" max="7" width="16.5546875" style="1" customWidth="1"/>
    <col min="8" max="9" width="16.6640625" style="1" customWidth="1"/>
    <col min="10" max="11" width="18.21875" customWidth="1"/>
    <col min="12" max="12" width="17.88671875" customWidth="1"/>
    <col min="13" max="14" width="9.109375" hidden="1" customWidth="1"/>
    <col min="15" max="15" width="7.109375" hidden="1" customWidth="1"/>
    <col min="16" max="17" width="0" hidden="1" customWidth="1"/>
    <col min="18" max="18" width="14.5546875" customWidth="1"/>
    <col min="19" max="19" width="11.33203125" customWidth="1"/>
    <col min="20" max="20" width="10.109375" customWidth="1"/>
    <col min="21" max="21" width="12.5546875" customWidth="1"/>
  </cols>
  <sheetData>
    <row r="2" spans="1:23" ht="9" customHeight="1">
      <c r="A2" s="2"/>
      <c r="B2" s="2"/>
      <c r="N2" s="3" t="s">
        <v>0</v>
      </c>
    </row>
    <row r="3" spans="1:23" ht="17.399999999999999" customHeight="1">
      <c r="A3" s="169" t="s">
        <v>154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75"/>
      <c r="T3" s="75"/>
      <c r="U3" s="75"/>
    </row>
    <row r="4" spans="1:23" s="75" customFormat="1" ht="20.399999999999999" hidden="1" customHeight="1">
      <c r="A4" s="74"/>
      <c r="B4" s="170" t="s">
        <v>34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</row>
    <row r="5" spans="1:23" s="4" customFormat="1" ht="18.600000000000001" customHeight="1">
      <c r="A5" s="172" t="s">
        <v>126</v>
      </c>
      <c r="B5" s="172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23" ht="25.2" customHeight="1">
      <c r="A6" s="171"/>
      <c r="B6" s="171"/>
    </row>
    <row r="7" spans="1:23" ht="37.5" customHeight="1">
      <c r="A7" s="120"/>
      <c r="B7" s="87" t="s">
        <v>117</v>
      </c>
      <c r="C7" s="163" t="s">
        <v>116</v>
      </c>
      <c r="D7" s="164"/>
      <c r="E7" s="164"/>
      <c r="F7" s="165"/>
      <c r="G7" s="163" t="s">
        <v>155</v>
      </c>
      <c r="H7" s="166"/>
      <c r="I7" s="166"/>
      <c r="J7" s="166"/>
      <c r="K7" s="167"/>
      <c r="L7" s="168"/>
      <c r="M7" s="65" t="s">
        <v>1</v>
      </c>
      <c r="N7" s="66"/>
      <c r="O7" s="66"/>
      <c r="P7" s="65" t="s">
        <v>2</v>
      </c>
      <c r="Q7" s="66"/>
    </row>
    <row r="8" spans="1:23">
      <c r="A8" s="64"/>
      <c r="B8" s="88" t="s">
        <v>3</v>
      </c>
      <c r="C8" s="89"/>
      <c r="D8" s="90" t="s">
        <v>4</v>
      </c>
      <c r="E8" s="90" t="s">
        <v>4</v>
      </c>
      <c r="F8" s="91"/>
      <c r="G8" s="124"/>
      <c r="H8" s="125"/>
      <c r="I8" s="124"/>
      <c r="J8" s="128"/>
      <c r="K8" s="124"/>
      <c r="L8" s="125"/>
      <c r="M8" s="69"/>
      <c r="N8" s="68" t="s">
        <v>4</v>
      </c>
      <c r="O8" s="69"/>
      <c r="P8" s="67"/>
      <c r="Q8" s="68" t="s">
        <v>4</v>
      </c>
      <c r="W8" s="3" t="s">
        <v>10</v>
      </c>
    </row>
    <row r="9" spans="1:23">
      <c r="A9" s="86"/>
      <c r="B9" s="92" t="s">
        <v>6</v>
      </c>
      <c r="C9" s="93" t="s">
        <v>5</v>
      </c>
      <c r="D9" s="94" t="s">
        <v>7</v>
      </c>
      <c r="E9" s="94" t="s">
        <v>7</v>
      </c>
      <c r="F9" s="127" t="s">
        <v>8</v>
      </c>
      <c r="G9" s="130" t="s">
        <v>5</v>
      </c>
      <c r="H9" s="92"/>
      <c r="I9" s="122"/>
      <c r="J9" s="132" t="s">
        <v>7</v>
      </c>
      <c r="K9" s="129"/>
      <c r="L9" s="131" t="s">
        <v>8</v>
      </c>
      <c r="M9" s="123" t="s">
        <v>5</v>
      </c>
      <c r="N9" s="71" t="s">
        <v>7</v>
      </c>
      <c r="O9" s="71" t="s">
        <v>8</v>
      </c>
      <c r="P9" s="70" t="s">
        <v>5</v>
      </c>
      <c r="Q9" s="71" t="s">
        <v>7</v>
      </c>
    </row>
    <row r="10" spans="1:23" ht="13.5" customHeight="1">
      <c r="A10" s="80"/>
      <c r="B10" s="94"/>
      <c r="C10" s="94" t="s">
        <v>9</v>
      </c>
      <c r="D10" s="94" t="s">
        <v>9</v>
      </c>
      <c r="E10" s="94" t="s">
        <v>9</v>
      </c>
      <c r="F10" s="127" t="s">
        <v>9</v>
      </c>
      <c r="G10" s="93" t="s">
        <v>9</v>
      </c>
      <c r="H10" s="93" t="s">
        <v>125</v>
      </c>
      <c r="I10" s="92" t="s">
        <v>9</v>
      </c>
      <c r="J10" s="133" t="s">
        <v>124</v>
      </c>
      <c r="K10" s="94" t="s">
        <v>9</v>
      </c>
      <c r="L10" s="94" t="s">
        <v>125</v>
      </c>
      <c r="M10" s="72" t="s">
        <v>9</v>
      </c>
      <c r="N10" s="73" t="s">
        <v>9</v>
      </c>
      <c r="O10" s="73" t="s">
        <v>9</v>
      </c>
      <c r="P10" s="73" t="s">
        <v>9</v>
      </c>
      <c r="Q10" s="73" t="s">
        <v>9</v>
      </c>
      <c r="V10" s="63" t="s">
        <v>10</v>
      </c>
      <c r="W10" s="63" t="s">
        <v>10</v>
      </c>
    </row>
    <row r="11" spans="1:23" s="75" customFormat="1" ht="13.5" customHeight="1">
      <c r="A11" s="81">
        <v>4</v>
      </c>
      <c r="B11" s="95" t="s">
        <v>119</v>
      </c>
      <c r="C11" s="96"/>
      <c r="D11" s="96"/>
      <c r="E11" s="96"/>
      <c r="F11" s="96"/>
      <c r="G11" s="96"/>
      <c r="H11" s="96"/>
      <c r="I11" s="96"/>
      <c r="J11" s="96"/>
      <c r="K11" s="134"/>
      <c r="L11" s="134"/>
      <c r="M11" s="115"/>
      <c r="N11" s="116"/>
      <c r="O11" s="116"/>
      <c r="P11" s="116"/>
      <c r="Q11" s="116"/>
      <c r="V11" s="117"/>
      <c r="W11" s="117"/>
    </row>
    <row r="12" spans="1:23" s="75" customFormat="1" ht="13.5" customHeight="1">
      <c r="A12" s="82" t="s">
        <v>118</v>
      </c>
      <c r="B12" s="118" t="s">
        <v>120</v>
      </c>
      <c r="C12" s="121">
        <v>1066126</v>
      </c>
      <c r="D12" s="119"/>
      <c r="E12" s="121">
        <v>1033436</v>
      </c>
      <c r="F12" s="121">
        <v>32690</v>
      </c>
      <c r="G12" s="145">
        <f>+G13+G68+G70+G75+G82+G84+G94+G114+G169+G171+G176+G183+G185+G195</f>
        <v>1030743.8400000002</v>
      </c>
      <c r="H12" s="147">
        <f t="shared" ref="H12" si="0">G12/C12*100</f>
        <v>96.681240303678948</v>
      </c>
      <c r="I12" s="145">
        <f>+I13+I68+I169+I70+I75+I82+I84+I94+I114+I171+I176+I183+I185+I195</f>
        <v>998429.67</v>
      </c>
      <c r="J12" s="147">
        <f>I12/E12*100</f>
        <v>96.612627197039785</v>
      </c>
      <c r="K12" s="145">
        <f>+K13+K114</f>
        <v>32314.17</v>
      </c>
      <c r="L12" s="145">
        <f>K13/F13*100</f>
        <v>98.850351789538081</v>
      </c>
      <c r="M12" s="115"/>
      <c r="N12" s="116"/>
      <c r="O12" s="116"/>
      <c r="P12" s="116"/>
      <c r="Q12" s="116"/>
      <c r="V12" s="117"/>
      <c r="W12" s="117"/>
    </row>
    <row r="13" spans="1:23">
      <c r="A13" s="79"/>
      <c r="B13" s="97" t="s">
        <v>36</v>
      </c>
      <c r="C13" s="98">
        <f>C14+C16+C18+C20+C27+C42+C47+C49+C60+C64</f>
        <v>485748</v>
      </c>
      <c r="D13" s="98"/>
      <c r="E13" s="98">
        <f>E14+E16+E18+E20+E27+E42+E47+E49+E60+E64</f>
        <v>469403</v>
      </c>
      <c r="F13" s="98">
        <f>F64</f>
        <v>16345</v>
      </c>
      <c r="G13" s="135">
        <f>G14+G16+G18+G20+G27+G42+G47+G49+G60+G64</f>
        <v>465910.99000000005</v>
      </c>
      <c r="H13" s="135">
        <f>G13/C13*100</f>
        <v>95.916193170121147</v>
      </c>
      <c r="I13" s="135">
        <f>I14+I16+I18+I20+I27+I42+I47+I49+I60+I64</f>
        <v>449753.9</v>
      </c>
      <c r="J13" s="135">
        <f>I13/E13*100</f>
        <v>95.814023344546158</v>
      </c>
      <c r="K13" s="135">
        <f>K64</f>
        <v>16157.09</v>
      </c>
      <c r="L13" s="135">
        <f>K13/F13*100</f>
        <v>98.850351789538081</v>
      </c>
      <c r="M13" s="78"/>
      <c r="N13" s="78"/>
      <c r="O13" s="78"/>
      <c r="P13" s="78"/>
      <c r="Q13" s="78"/>
    </row>
    <row r="14" spans="1:23">
      <c r="A14" s="13"/>
      <c r="B14" s="99" t="s">
        <v>11</v>
      </c>
      <c r="C14" s="100">
        <v>263144</v>
      </c>
      <c r="D14" s="100" t="e">
        <f>#REF!</f>
        <v>#REF!</v>
      </c>
      <c r="E14" s="100">
        <v>263144</v>
      </c>
      <c r="F14" s="100"/>
      <c r="G14" s="136">
        <f>SUM(G15)</f>
        <v>263144.99</v>
      </c>
      <c r="H14" s="146">
        <f t="shared" ref="H14:J27" si="1">G14/C14*100</f>
        <v>100.00037621986439</v>
      </c>
      <c r="I14" s="136">
        <f>SUM(I15)</f>
        <v>263144.99</v>
      </c>
      <c r="J14" s="146">
        <f t="shared" si="1"/>
        <v>100.00037621986439</v>
      </c>
      <c r="K14" s="101"/>
      <c r="L14" s="101"/>
      <c r="M14" s="15" t="e">
        <f>#REF!</f>
        <v>#REF!</v>
      </c>
      <c r="N14" s="16" t="e">
        <f>#REF!</f>
        <v>#REF!</v>
      </c>
      <c r="O14" s="16" t="e">
        <f>#REF!</f>
        <v>#REF!</v>
      </c>
      <c r="P14" s="7"/>
      <c r="Q14" s="7"/>
    </row>
    <row r="15" spans="1:23">
      <c r="A15" s="13"/>
      <c r="B15" s="126" t="s">
        <v>121</v>
      </c>
      <c r="C15" s="103">
        <v>263144</v>
      </c>
      <c r="D15" s="103"/>
      <c r="E15" s="103">
        <v>263144</v>
      </c>
      <c r="F15" s="100"/>
      <c r="G15" s="137">
        <v>263144.99</v>
      </c>
      <c r="H15" s="146">
        <f t="shared" si="1"/>
        <v>100.00037621986439</v>
      </c>
      <c r="I15" s="137">
        <v>263144.99</v>
      </c>
      <c r="J15" s="146">
        <f t="shared" si="1"/>
        <v>100.00037621986439</v>
      </c>
      <c r="K15" s="101"/>
      <c r="L15" s="101"/>
      <c r="M15" s="15"/>
      <c r="N15" s="16"/>
      <c r="O15" s="22"/>
      <c r="P15" s="7"/>
      <c r="Q15" s="7"/>
    </row>
    <row r="16" spans="1:23">
      <c r="A16" s="13"/>
      <c r="B16" s="99" t="s">
        <v>37</v>
      </c>
      <c r="C16" s="100">
        <v>91969</v>
      </c>
      <c r="D16" s="100" t="e">
        <f>SUM(#REF!)</f>
        <v>#REF!</v>
      </c>
      <c r="E16" s="100">
        <v>91969</v>
      </c>
      <c r="F16" s="103"/>
      <c r="G16" s="136">
        <f>SUM(G17)</f>
        <v>92098.16</v>
      </c>
      <c r="H16" s="146">
        <f t="shared" si="1"/>
        <v>100.1404386260588</v>
      </c>
      <c r="I16" s="136">
        <f>SUM(I17)</f>
        <v>92098.16</v>
      </c>
      <c r="J16" s="146">
        <f>I16/E16*100</f>
        <v>100.1404386260588</v>
      </c>
      <c r="K16" s="101"/>
      <c r="L16" s="101"/>
      <c r="M16" s="15"/>
      <c r="N16" s="16"/>
      <c r="O16" s="22"/>
      <c r="P16" s="7"/>
      <c r="Q16" s="7"/>
      <c r="T16" s="61"/>
      <c r="V16" s="21"/>
      <c r="W16" s="61"/>
    </row>
    <row r="17" spans="1:23">
      <c r="A17" s="13"/>
      <c r="B17" s="126" t="s">
        <v>122</v>
      </c>
      <c r="C17" s="103">
        <v>91969</v>
      </c>
      <c r="D17" s="100"/>
      <c r="E17" s="103">
        <v>91969</v>
      </c>
      <c r="F17" s="103"/>
      <c r="G17" s="137">
        <v>92098.16</v>
      </c>
      <c r="H17" s="146">
        <f t="shared" si="1"/>
        <v>100.1404386260588</v>
      </c>
      <c r="I17" s="137">
        <v>92098.16</v>
      </c>
      <c r="J17" s="146">
        <f t="shared" ref="H17:J95" si="2">I17/E17*100</f>
        <v>100.1404386260588</v>
      </c>
      <c r="K17" s="101"/>
      <c r="L17" s="101"/>
      <c r="M17" s="15"/>
      <c r="N17" s="16"/>
      <c r="O17" s="22"/>
      <c r="P17" s="7"/>
      <c r="Q17" s="7"/>
      <c r="T17" s="61"/>
      <c r="V17" s="21"/>
      <c r="W17" s="61"/>
    </row>
    <row r="18" spans="1:23">
      <c r="A18" s="13"/>
      <c r="B18" s="99" t="s">
        <v>14</v>
      </c>
      <c r="C18" s="100">
        <v>550</v>
      </c>
      <c r="D18" s="100">
        <f>SUM(D19:D19)</f>
        <v>0</v>
      </c>
      <c r="E18" s="100">
        <v>550</v>
      </c>
      <c r="F18" s="103"/>
      <c r="G18" s="136">
        <f>SUM(G19)</f>
        <v>515.19000000000005</v>
      </c>
      <c r="H18" s="146">
        <f t="shared" si="1"/>
        <v>93.670909090909106</v>
      </c>
      <c r="I18" s="136">
        <f>SUM(I19)</f>
        <v>515.19000000000005</v>
      </c>
      <c r="J18" s="146">
        <f t="shared" si="2"/>
        <v>93.670909090909106</v>
      </c>
      <c r="K18" s="101"/>
      <c r="L18" s="101"/>
      <c r="M18" s="23">
        <f>SUM(M19:M19)</f>
        <v>0</v>
      </c>
      <c r="N18" s="24">
        <f>SUM(N19:N19)</f>
        <v>0</v>
      </c>
      <c r="O18" s="25">
        <f>SUM(O19:O19)</f>
        <v>0</v>
      </c>
      <c r="P18" s="7"/>
      <c r="Q18" s="7"/>
      <c r="T18" s="61"/>
      <c r="V18" s="21"/>
      <c r="W18" s="61"/>
    </row>
    <row r="19" spans="1:23">
      <c r="A19" s="13"/>
      <c r="B19" s="55" t="s">
        <v>15</v>
      </c>
      <c r="C19" s="103">
        <v>550</v>
      </c>
      <c r="D19" s="103"/>
      <c r="E19" s="103">
        <v>550</v>
      </c>
      <c r="F19" s="100"/>
      <c r="G19" s="138">
        <v>515.19000000000005</v>
      </c>
      <c r="H19" s="146">
        <f t="shared" si="1"/>
        <v>93.670909090909106</v>
      </c>
      <c r="I19" s="138">
        <v>515.19000000000005</v>
      </c>
      <c r="J19" s="146">
        <f t="shared" si="2"/>
        <v>93.670909090909106</v>
      </c>
      <c r="K19" s="106"/>
      <c r="L19" s="105"/>
      <c r="M19" s="9"/>
      <c r="N19" s="10"/>
      <c r="O19" s="8"/>
      <c r="P19" s="7"/>
      <c r="Q19" s="7"/>
      <c r="T19" s="61"/>
      <c r="V19" s="21"/>
      <c r="W19" s="61"/>
    </row>
    <row r="20" spans="1:23" s="29" customFormat="1">
      <c r="A20" s="26"/>
      <c r="B20" s="99" t="s">
        <v>16</v>
      </c>
      <c r="C20" s="100">
        <f>SUM(C21:C26)</f>
        <v>34780</v>
      </c>
      <c r="D20" s="100" t="e">
        <f>SUM(D21:D26)</f>
        <v>#REF!</v>
      </c>
      <c r="E20" s="100">
        <f>SUM(E21:E26)</f>
        <v>34780</v>
      </c>
      <c r="F20" s="100"/>
      <c r="G20" s="136">
        <f>SUM(G21:G26)</f>
        <v>32348.730000000003</v>
      </c>
      <c r="H20" s="149">
        <f t="shared" si="1"/>
        <v>93.00957446808512</v>
      </c>
      <c r="I20" s="136">
        <f>SUM(I21:I26)</f>
        <v>32348.730000000003</v>
      </c>
      <c r="J20" s="149">
        <f t="shared" si="2"/>
        <v>93.00957446808512</v>
      </c>
      <c r="K20" s="101"/>
      <c r="L20" s="101"/>
      <c r="M20" s="23" t="e">
        <f>M21+M24+M26+#REF!</f>
        <v>#REF!</v>
      </c>
      <c r="N20" s="24" t="e">
        <f>N21+N24+N26+#REF!</f>
        <v>#REF!</v>
      </c>
      <c r="O20" s="25" t="e">
        <f>O21+O24+O26+#REF!</f>
        <v>#REF!</v>
      </c>
      <c r="P20" s="27"/>
      <c r="Q20" s="27"/>
      <c r="T20" s="61"/>
      <c r="V20" s="21"/>
      <c r="W20" s="61"/>
    </row>
    <row r="21" spans="1:23">
      <c r="A21" s="26"/>
      <c r="B21" s="55" t="s">
        <v>39</v>
      </c>
      <c r="C21" s="103">
        <v>10000</v>
      </c>
      <c r="D21" s="103"/>
      <c r="E21" s="103">
        <v>10000</v>
      </c>
      <c r="F21" s="103"/>
      <c r="G21" s="137">
        <v>9697.94</v>
      </c>
      <c r="H21" s="146">
        <f t="shared" si="1"/>
        <v>96.979399999999998</v>
      </c>
      <c r="I21" s="137">
        <v>9697.94</v>
      </c>
      <c r="J21" s="146">
        <f t="shared" si="2"/>
        <v>96.979399999999998</v>
      </c>
      <c r="K21" s="105"/>
      <c r="L21" s="105"/>
      <c r="M21" s="30"/>
      <c r="N21" s="31"/>
      <c r="O21" s="8"/>
      <c r="P21" s="7"/>
      <c r="Q21" s="7"/>
      <c r="T21" s="61"/>
      <c r="V21" s="21"/>
      <c r="W21" s="61"/>
    </row>
    <row r="22" spans="1:23">
      <c r="A22" s="26"/>
      <c r="B22" s="55" t="s">
        <v>38</v>
      </c>
      <c r="C22" s="103">
        <v>6050</v>
      </c>
      <c r="D22" s="103"/>
      <c r="E22" s="103">
        <v>6050</v>
      </c>
      <c r="F22" s="103"/>
      <c r="G22" s="137">
        <v>6050</v>
      </c>
      <c r="H22" s="146">
        <f t="shared" si="1"/>
        <v>100</v>
      </c>
      <c r="I22" s="137">
        <v>6050</v>
      </c>
      <c r="J22" s="146">
        <f t="shared" si="2"/>
        <v>100</v>
      </c>
      <c r="K22" s="105"/>
      <c r="L22" s="105"/>
      <c r="M22" s="30"/>
      <c r="N22" s="31"/>
      <c r="O22" s="8"/>
      <c r="P22" s="7"/>
      <c r="Q22" s="7"/>
      <c r="T22" s="61"/>
      <c r="V22" s="21"/>
      <c r="W22" s="61"/>
    </row>
    <row r="23" spans="1:23">
      <c r="A23" s="26"/>
      <c r="B23" s="55" t="s">
        <v>40</v>
      </c>
      <c r="C23" s="103">
        <v>12200</v>
      </c>
      <c r="D23" s="103"/>
      <c r="E23" s="103">
        <v>12200</v>
      </c>
      <c r="F23" s="103"/>
      <c r="G23" s="137">
        <v>12181.36</v>
      </c>
      <c r="H23" s="146">
        <f t="shared" si="1"/>
        <v>99.847213114754112</v>
      </c>
      <c r="I23" s="137">
        <v>12181.36</v>
      </c>
      <c r="J23" s="146">
        <f t="shared" si="2"/>
        <v>99.847213114754112</v>
      </c>
      <c r="K23" s="105"/>
      <c r="L23" s="105"/>
      <c r="M23" s="30"/>
      <c r="N23" s="31"/>
      <c r="O23" s="8"/>
      <c r="P23" s="7"/>
      <c r="Q23" s="7"/>
      <c r="T23" s="61"/>
      <c r="V23" s="21"/>
      <c r="W23" s="61"/>
    </row>
    <row r="24" spans="1:23">
      <c r="A24" s="13"/>
      <c r="B24" s="55" t="s">
        <v>17</v>
      </c>
      <c r="C24" s="103">
        <v>5050</v>
      </c>
      <c r="D24" s="103"/>
      <c r="E24" s="103">
        <v>5050</v>
      </c>
      <c r="F24" s="103"/>
      <c r="G24" s="137">
        <v>3053.71</v>
      </c>
      <c r="H24" s="146">
        <f t="shared" si="1"/>
        <v>60.469504950495043</v>
      </c>
      <c r="I24" s="137">
        <v>3053.71</v>
      </c>
      <c r="J24" s="146">
        <f t="shared" si="2"/>
        <v>60.469504950495043</v>
      </c>
      <c r="K24" s="105"/>
      <c r="L24" s="105"/>
      <c r="M24" s="30"/>
      <c r="N24" s="31"/>
      <c r="O24" s="8"/>
      <c r="P24" s="7"/>
      <c r="Q24" s="7"/>
      <c r="T24" s="61"/>
      <c r="V24" s="21"/>
      <c r="W24" s="61"/>
    </row>
    <row r="25" spans="1:23">
      <c r="A25" s="13"/>
      <c r="B25" s="55" t="s">
        <v>41</v>
      </c>
      <c r="C25" s="103">
        <v>330</v>
      </c>
      <c r="D25" s="103"/>
      <c r="E25" s="103">
        <v>330</v>
      </c>
      <c r="F25" s="103"/>
      <c r="G25" s="138">
        <v>223.32</v>
      </c>
      <c r="H25" s="146">
        <f t="shared" si="1"/>
        <v>67.672727272727272</v>
      </c>
      <c r="I25" s="138">
        <v>223.32</v>
      </c>
      <c r="J25" s="146">
        <f t="shared" si="2"/>
        <v>67.672727272727272</v>
      </c>
      <c r="K25" s="106"/>
      <c r="L25" s="105"/>
      <c r="M25" s="57"/>
      <c r="N25" s="34"/>
      <c r="O25" s="8"/>
      <c r="P25" s="8"/>
      <c r="Q25" s="8"/>
      <c r="T25" s="61"/>
      <c r="V25" s="21"/>
      <c r="W25" s="61"/>
    </row>
    <row r="26" spans="1:23">
      <c r="A26" s="13"/>
      <c r="B26" s="55" t="s">
        <v>42</v>
      </c>
      <c r="C26" s="103">
        <v>1150</v>
      </c>
      <c r="D26" s="103" t="e">
        <f>#REF!+#REF!</f>
        <v>#REF!</v>
      </c>
      <c r="E26" s="103">
        <v>1150</v>
      </c>
      <c r="F26" s="103" t="s">
        <v>10</v>
      </c>
      <c r="G26" s="138">
        <v>1142.4000000000001</v>
      </c>
      <c r="H26" s="146">
        <f t="shared" si="1"/>
        <v>99.339130434782618</v>
      </c>
      <c r="I26" s="138">
        <v>1142.4000000000001</v>
      </c>
      <c r="J26" s="146">
        <f t="shared" si="2"/>
        <v>99.339130434782618</v>
      </c>
      <c r="K26" s="106"/>
      <c r="L26" s="105"/>
      <c r="M26" s="32" t="e">
        <f>#REF!+#REF!</f>
        <v>#REF!</v>
      </c>
      <c r="N26" s="33" t="e">
        <f>#REF!+#REF!</f>
        <v>#REF!</v>
      </c>
      <c r="O26" s="33" t="e">
        <f>#REF!+#REF!</f>
        <v>#REF!</v>
      </c>
      <c r="P26" s="33" t="e">
        <f>#REF!+#REF!</f>
        <v>#REF!</v>
      </c>
      <c r="Q26" s="33" t="e">
        <f>#REF!+#REF!</f>
        <v>#REF!</v>
      </c>
      <c r="T26" s="61"/>
      <c r="V26" s="21"/>
      <c r="W26" s="61"/>
    </row>
    <row r="27" spans="1:23" s="29" customFormat="1">
      <c r="A27" s="26"/>
      <c r="B27" s="99" t="s">
        <v>18</v>
      </c>
      <c r="C27" s="100">
        <f>SUM(C28:C41)</f>
        <v>31703</v>
      </c>
      <c r="D27" s="100" t="e">
        <f>SUM(D28:D30,D32,D35,D40:D41,D36)</f>
        <v>#REF!</v>
      </c>
      <c r="E27" s="100">
        <f>SUM(E28:E41)</f>
        <v>31703</v>
      </c>
      <c r="F27" s="100" t="s">
        <v>10</v>
      </c>
      <c r="G27" s="136">
        <f>SUM(G28:G41)</f>
        <v>16140.550000000001</v>
      </c>
      <c r="H27" s="149">
        <f t="shared" si="1"/>
        <v>50.911743368135511</v>
      </c>
      <c r="I27" s="136">
        <f>SUM(I28:I41)</f>
        <v>16140.550000000001</v>
      </c>
      <c r="J27" s="149">
        <f t="shared" si="2"/>
        <v>50.911743368135511</v>
      </c>
      <c r="K27" s="101"/>
      <c r="L27" s="101"/>
      <c r="M27" s="23" t="e">
        <f t="shared" ref="M27:Q27" si="3">SUM(M28:M30,M32,M35,M40:M41,M36)</f>
        <v>#REF!</v>
      </c>
      <c r="N27" s="24" t="e">
        <f t="shared" si="3"/>
        <v>#REF!</v>
      </c>
      <c r="O27" s="24" t="e">
        <f t="shared" si="3"/>
        <v>#REF!</v>
      </c>
      <c r="P27" s="24">
        <f t="shared" si="3"/>
        <v>0</v>
      </c>
      <c r="Q27" s="24">
        <f t="shared" si="3"/>
        <v>0</v>
      </c>
      <c r="T27" s="61"/>
      <c r="V27" s="21"/>
      <c r="W27" s="61"/>
    </row>
    <row r="28" spans="1:23">
      <c r="A28" s="13"/>
      <c r="B28" s="55" t="s">
        <v>43</v>
      </c>
      <c r="C28" s="103">
        <v>17415</v>
      </c>
      <c r="D28" s="103"/>
      <c r="E28" s="103">
        <v>17415</v>
      </c>
      <c r="F28" s="103"/>
      <c r="G28" s="137">
        <v>684.99</v>
      </c>
      <c r="H28" s="146">
        <f t="shared" ref="H28:J63" si="4">G28/C28*100</f>
        <v>3.9333333333333331</v>
      </c>
      <c r="I28" s="137">
        <v>684.99</v>
      </c>
      <c r="J28" s="146">
        <f t="shared" si="4"/>
        <v>3.9333333333333331</v>
      </c>
      <c r="K28" s="101"/>
      <c r="L28" s="101"/>
      <c r="M28" s="9"/>
      <c r="N28" s="10"/>
      <c r="O28" s="8"/>
      <c r="P28" s="7"/>
      <c r="Q28" s="7"/>
      <c r="T28" s="61"/>
      <c r="V28" s="21"/>
      <c r="W28" s="61"/>
    </row>
    <row r="29" spans="1:23">
      <c r="A29" s="13"/>
      <c r="B29" s="55" t="s">
        <v>44</v>
      </c>
      <c r="C29" s="103">
        <f t="shared" ref="C29:C36" si="5">E29+F29</f>
        <v>2000</v>
      </c>
      <c r="D29" s="103"/>
      <c r="E29" s="103">
        <v>2000</v>
      </c>
      <c r="F29" s="103"/>
      <c r="G29" s="137">
        <v>2953.98</v>
      </c>
      <c r="H29" s="146">
        <f t="shared" si="4"/>
        <v>147.69900000000001</v>
      </c>
      <c r="I29" s="137">
        <v>2953.98</v>
      </c>
      <c r="J29" s="146">
        <f t="shared" si="4"/>
        <v>147.69900000000001</v>
      </c>
      <c r="K29" s="105"/>
      <c r="L29" s="105"/>
      <c r="M29" s="9"/>
      <c r="N29" s="10"/>
      <c r="O29" s="8"/>
      <c r="P29" s="7"/>
      <c r="Q29" s="7"/>
      <c r="T29" s="61"/>
      <c r="V29" s="21"/>
      <c r="W29" s="61"/>
    </row>
    <row r="30" spans="1:23">
      <c r="A30" s="13"/>
      <c r="B30" s="55" t="s">
        <v>45</v>
      </c>
      <c r="C30" s="103">
        <f t="shared" si="5"/>
        <v>1000</v>
      </c>
      <c r="D30" s="103"/>
      <c r="E30" s="103">
        <v>1000</v>
      </c>
      <c r="F30" s="103"/>
      <c r="G30" s="137">
        <v>724.05</v>
      </c>
      <c r="H30" s="146">
        <f t="shared" si="4"/>
        <v>72.405000000000001</v>
      </c>
      <c r="I30" s="137">
        <v>724.05</v>
      </c>
      <c r="J30" s="146">
        <f t="shared" si="2"/>
        <v>72.405000000000001</v>
      </c>
      <c r="K30" s="105"/>
      <c r="L30" s="105"/>
      <c r="M30" s="9"/>
      <c r="N30" s="10"/>
      <c r="O30" s="8"/>
      <c r="P30" s="7"/>
      <c r="Q30" s="7"/>
      <c r="T30" s="61"/>
      <c r="V30" s="21"/>
      <c r="W30" s="61"/>
    </row>
    <row r="31" spans="1:23">
      <c r="A31" s="13"/>
      <c r="B31" s="55" t="s">
        <v>133</v>
      </c>
      <c r="C31" s="103">
        <v>148</v>
      </c>
      <c r="D31" s="103"/>
      <c r="E31" s="103">
        <v>148</v>
      </c>
      <c r="F31" s="103"/>
      <c r="G31" s="138">
        <v>125.39</v>
      </c>
      <c r="H31" s="146">
        <f t="shared" si="4"/>
        <v>84.722972972972983</v>
      </c>
      <c r="I31" s="138">
        <v>125.39</v>
      </c>
      <c r="J31" s="146">
        <f t="shared" si="2"/>
        <v>84.722972972972983</v>
      </c>
      <c r="K31" s="106"/>
      <c r="L31" s="105"/>
      <c r="M31" s="9"/>
      <c r="N31" s="10"/>
      <c r="O31" s="8"/>
      <c r="P31" s="7"/>
      <c r="Q31" s="7"/>
      <c r="T31" s="61"/>
      <c r="V31" s="21"/>
      <c r="W31" s="61"/>
    </row>
    <row r="32" spans="1:23">
      <c r="A32" s="13"/>
      <c r="B32" s="55" t="s">
        <v>46</v>
      </c>
      <c r="C32" s="103">
        <v>6875</v>
      </c>
      <c r="D32" s="103" t="e">
        <f>SUM(#REF!)</f>
        <v>#REF!</v>
      </c>
      <c r="E32" s="103">
        <v>6875</v>
      </c>
      <c r="F32" s="103"/>
      <c r="G32" s="138">
        <v>6551.19</v>
      </c>
      <c r="H32" s="146">
        <f t="shared" si="4"/>
        <v>95.290036363636361</v>
      </c>
      <c r="I32" s="138">
        <v>6551.19</v>
      </c>
      <c r="J32" s="146">
        <f t="shared" si="2"/>
        <v>95.290036363636361</v>
      </c>
      <c r="K32" s="106"/>
      <c r="L32" s="105"/>
      <c r="M32" s="9" t="e">
        <f>SUM(#REF!)</f>
        <v>#REF!</v>
      </c>
      <c r="N32" s="10" t="e">
        <f>SUM(#REF!)</f>
        <v>#REF!</v>
      </c>
      <c r="O32" s="34" t="e">
        <f>SUM(#REF!)</f>
        <v>#REF!</v>
      </c>
      <c r="P32" s="7"/>
      <c r="Q32" s="7"/>
      <c r="T32" s="61"/>
      <c r="V32" s="21"/>
      <c r="W32" s="61"/>
    </row>
    <row r="33" spans="1:23">
      <c r="A33" s="13"/>
      <c r="B33" s="55" t="s">
        <v>165</v>
      </c>
      <c r="C33" s="103">
        <v>150</v>
      </c>
      <c r="D33" s="103"/>
      <c r="E33" s="103">
        <v>150</v>
      </c>
      <c r="F33" s="103"/>
      <c r="G33" s="138">
        <v>150</v>
      </c>
      <c r="H33" s="146">
        <f t="shared" si="4"/>
        <v>100</v>
      </c>
      <c r="I33" s="138">
        <v>150</v>
      </c>
      <c r="J33" s="146">
        <f t="shared" si="2"/>
        <v>100</v>
      </c>
      <c r="K33" s="106"/>
      <c r="L33" s="105"/>
      <c r="M33" s="9"/>
      <c r="N33" s="10"/>
      <c r="O33" s="34"/>
      <c r="P33" s="7"/>
      <c r="Q33" s="7"/>
      <c r="T33" s="61"/>
      <c r="V33" s="21"/>
      <c r="W33" s="61"/>
    </row>
    <row r="34" spans="1:23">
      <c r="A34" s="13"/>
      <c r="B34" s="55" t="s">
        <v>166</v>
      </c>
      <c r="C34" s="103"/>
      <c r="D34" s="103"/>
      <c r="E34" s="103"/>
      <c r="F34" s="103"/>
      <c r="G34" s="138">
        <v>270</v>
      </c>
      <c r="H34" s="146"/>
      <c r="I34" s="138">
        <v>270</v>
      </c>
      <c r="J34" s="146"/>
      <c r="K34" s="106"/>
      <c r="L34" s="105"/>
      <c r="M34" s="9"/>
      <c r="N34" s="10"/>
      <c r="O34" s="34"/>
      <c r="P34" s="7"/>
      <c r="Q34" s="7"/>
      <c r="T34" s="61"/>
      <c r="V34" s="21"/>
      <c r="W34" s="61"/>
    </row>
    <row r="35" spans="1:23">
      <c r="A35" s="13"/>
      <c r="B35" s="55" t="s">
        <v>69</v>
      </c>
      <c r="C35" s="103">
        <v>2595</v>
      </c>
      <c r="D35" s="103"/>
      <c r="E35" s="103">
        <v>2595</v>
      </c>
      <c r="F35" s="103"/>
      <c r="G35" s="137">
        <v>3421.6</v>
      </c>
      <c r="H35" s="146">
        <f t="shared" si="4"/>
        <v>131.85356454720616</v>
      </c>
      <c r="I35" s="137">
        <v>3421.6</v>
      </c>
      <c r="J35" s="146">
        <f t="shared" si="2"/>
        <v>131.85356454720616</v>
      </c>
      <c r="K35" s="105"/>
      <c r="L35" s="105"/>
      <c r="M35" s="9"/>
      <c r="N35" s="10"/>
      <c r="O35" s="11"/>
      <c r="P35" s="7"/>
      <c r="Q35" s="7"/>
      <c r="T35" s="61"/>
      <c r="V35" s="21"/>
      <c r="W35" s="61"/>
    </row>
    <row r="36" spans="1:23">
      <c r="A36" s="13"/>
      <c r="B36" s="55" t="s">
        <v>47</v>
      </c>
      <c r="C36" s="103">
        <f t="shared" si="5"/>
        <v>350</v>
      </c>
      <c r="D36" s="103"/>
      <c r="E36" s="103">
        <v>350</v>
      </c>
      <c r="F36" s="103"/>
      <c r="G36" s="137">
        <v>168.2</v>
      </c>
      <c r="H36" s="146">
        <f t="shared" si="2"/>
        <v>48.057142857142857</v>
      </c>
      <c r="I36" s="137">
        <v>168.2</v>
      </c>
      <c r="J36" s="146">
        <f t="shared" si="2"/>
        <v>48.057142857142857</v>
      </c>
      <c r="K36" s="105"/>
      <c r="L36" s="105"/>
      <c r="M36" s="30"/>
      <c r="N36" s="31"/>
      <c r="O36" s="34"/>
      <c r="P36" s="7"/>
      <c r="Q36" s="7"/>
      <c r="T36" s="61"/>
      <c r="V36" s="21"/>
      <c r="W36" s="61"/>
    </row>
    <row r="37" spans="1:23">
      <c r="A37" s="13"/>
      <c r="B37" s="55" t="s">
        <v>134</v>
      </c>
      <c r="C37" s="103">
        <v>45</v>
      </c>
      <c r="D37" s="103"/>
      <c r="E37" s="103">
        <v>45</v>
      </c>
      <c r="F37" s="103"/>
      <c r="G37" s="137">
        <v>48.65</v>
      </c>
      <c r="H37" s="146">
        <f t="shared" si="2"/>
        <v>108.11111111111111</v>
      </c>
      <c r="I37" s="137">
        <v>48.65</v>
      </c>
      <c r="J37" s="146">
        <f t="shared" si="2"/>
        <v>108.11111111111111</v>
      </c>
      <c r="K37" s="105"/>
      <c r="L37" s="105"/>
      <c r="M37" s="30"/>
      <c r="N37" s="31"/>
      <c r="O37" s="34"/>
      <c r="P37" s="7"/>
      <c r="Q37" s="7"/>
      <c r="T37" s="61"/>
      <c r="V37" s="21"/>
      <c r="W37" s="61"/>
    </row>
    <row r="38" spans="1:23">
      <c r="A38" s="13"/>
      <c r="B38" s="55" t="s">
        <v>167</v>
      </c>
      <c r="C38" s="103"/>
      <c r="D38" s="103"/>
      <c r="E38" s="103"/>
      <c r="F38" s="103"/>
      <c r="G38" s="137">
        <v>521.61</v>
      </c>
      <c r="H38" s="146"/>
      <c r="I38" s="137">
        <v>521.61</v>
      </c>
      <c r="J38" s="146"/>
      <c r="K38" s="105"/>
      <c r="L38" s="105"/>
      <c r="M38" s="30"/>
      <c r="N38" s="31"/>
      <c r="O38" s="34"/>
      <c r="P38" s="7"/>
      <c r="Q38" s="7"/>
      <c r="T38" s="61"/>
      <c r="V38" s="21"/>
      <c r="W38" s="61"/>
    </row>
    <row r="39" spans="1:23">
      <c r="A39" s="13"/>
      <c r="B39" s="55" t="s">
        <v>103</v>
      </c>
      <c r="C39" s="103">
        <v>175</v>
      </c>
      <c r="D39" s="103"/>
      <c r="E39" s="103">
        <v>175</v>
      </c>
      <c r="F39" s="103"/>
      <c r="G39" s="137">
        <v>174.5</v>
      </c>
      <c r="H39" s="146">
        <f t="shared" si="2"/>
        <v>99.714285714285708</v>
      </c>
      <c r="I39" s="137">
        <v>174.5</v>
      </c>
      <c r="J39" s="146">
        <f t="shared" si="2"/>
        <v>99.714285714285708</v>
      </c>
      <c r="K39" s="105"/>
      <c r="L39" s="105"/>
      <c r="M39" s="30"/>
      <c r="N39" s="31"/>
      <c r="O39" s="34"/>
      <c r="P39" s="7"/>
      <c r="Q39" s="7"/>
      <c r="T39" s="61"/>
      <c r="V39" s="21"/>
      <c r="W39" s="61"/>
    </row>
    <row r="40" spans="1:23">
      <c r="A40" s="13"/>
      <c r="B40" s="55" t="s">
        <v>48</v>
      </c>
      <c r="C40" s="103">
        <v>300</v>
      </c>
      <c r="D40" s="103"/>
      <c r="E40" s="103">
        <v>300</v>
      </c>
      <c r="F40" s="103"/>
      <c r="G40" s="137">
        <v>165.17</v>
      </c>
      <c r="H40" s="146">
        <f t="shared" si="4"/>
        <v>55.056666666666665</v>
      </c>
      <c r="I40" s="137">
        <v>165.17</v>
      </c>
      <c r="J40" s="146">
        <f t="shared" si="2"/>
        <v>55.056666666666665</v>
      </c>
      <c r="K40" s="105"/>
      <c r="L40" s="105"/>
      <c r="M40" s="9"/>
      <c r="N40" s="10"/>
      <c r="O40" s="11"/>
      <c r="P40" s="7"/>
      <c r="Q40" s="7"/>
      <c r="T40" s="61"/>
      <c r="V40" s="21"/>
      <c r="W40" s="61"/>
    </row>
    <row r="41" spans="1:23">
      <c r="A41" s="13"/>
      <c r="B41" s="55" t="s">
        <v>49</v>
      </c>
      <c r="C41" s="103">
        <v>650</v>
      </c>
      <c r="D41" s="103"/>
      <c r="E41" s="103">
        <v>650</v>
      </c>
      <c r="F41" s="103"/>
      <c r="G41" s="137">
        <v>181.22</v>
      </c>
      <c r="H41" s="146">
        <f t="shared" si="4"/>
        <v>27.88</v>
      </c>
      <c r="I41" s="137">
        <v>181.22</v>
      </c>
      <c r="J41" s="146">
        <f t="shared" si="2"/>
        <v>27.88</v>
      </c>
      <c r="K41" s="105"/>
      <c r="L41" s="105"/>
      <c r="M41" s="9"/>
      <c r="N41" s="10"/>
      <c r="O41" s="11"/>
      <c r="P41" s="7"/>
      <c r="Q41" s="7"/>
      <c r="T41" s="61"/>
      <c r="V41" s="21"/>
      <c r="W41" s="61"/>
    </row>
    <row r="42" spans="1:23" s="41" customFormat="1" ht="15" customHeight="1">
      <c r="A42" s="26"/>
      <c r="B42" s="27" t="s">
        <v>20</v>
      </c>
      <c r="C42" s="100">
        <f>SUM(C43:C46)</f>
        <v>20973</v>
      </c>
      <c r="D42" s="100">
        <f t="shared" ref="D42:Q42" si="6">SUM(D43:D46)</f>
        <v>0</v>
      </c>
      <c r="E42" s="100">
        <f>SUM(E43:E46)</f>
        <v>20973</v>
      </c>
      <c r="F42" s="100"/>
      <c r="G42" s="136">
        <f>SUM(G43:G46)</f>
        <v>20439.199999999997</v>
      </c>
      <c r="H42" s="149">
        <f t="shared" si="4"/>
        <v>97.45482286749629</v>
      </c>
      <c r="I42" s="136">
        <f>SUM(I43:I46)</f>
        <v>20439.199999999997</v>
      </c>
      <c r="J42" s="149">
        <f t="shared" si="2"/>
        <v>97.45482286749629</v>
      </c>
      <c r="K42" s="101"/>
      <c r="L42" s="101"/>
      <c r="M42" s="35">
        <f t="shared" si="6"/>
        <v>0</v>
      </c>
      <c r="N42" s="36">
        <f t="shared" si="6"/>
        <v>0</v>
      </c>
      <c r="O42" s="36">
        <f t="shared" si="6"/>
        <v>0</v>
      </c>
      <c r="P42" s="36">
        <f t="shared" si="6"/>
        <v>0</v>
      </c>
      <c r="Q42" s="36">
        <f t="shared" si="6"/>
        <v>0</v>
      </c>
      <c r="T42" s="61"/>
      <c r="V42" s="21"/>
      <c r="W42" s="61"/>
    </row>
    <row r="43" spans="1:23">
      <c r="A43" s="26"/>
      <c r="B43" s="55" t="s">
        <v>50</v>
      </c>
      <c r="C43" s="103">
        <v>600</v>
      </c>
      <c r="D43" s="103"/>
      <c r="E43" s="103">
        <v>600</v>
      </c>
      <c r="F43" s="100"/>
      <c r="G43" s="138">
        <v>763.63</v>
      </c>
      <c r="H43" s="146">
        <f t="shared" si="4"/>
        <v>127.27166666666668</v>
      </c>
      <c r="I43" s="138">
        <v>763.63</v>
      </c>
      <c r="J43" s="146">
        <f t="shared" si="2"/>
        <v>127.27166666666668</v>
      </c>
      <c r="K43" s="106"/>
      <c r="L43" s="105"/>
      <c r="M43" s="6"/>
      <c r="N43" s="7"/>
      <c r="O43" s="8"/>
      <c r="P43" s="7"/>
      <c r="Q43" s="7"/>
      <c r="T43" s="61"/>
      <c r="V43" s="21"/>
      <c r="W43" s="61"/>
    </row>
    <row r="44" spans="1:23">
      <c r="A44" s="13"/>
      <c r="B44" s="55" t="s">
        <v>51</v>
      </c>
      <c r="C44" s="103">
        <v>1750</v>
      </c>
      <c r="D44" s="103"/>
      <c r="E44" s="103">
        <v>1750</v>
      </c>
      <c r="F44" s="100"/>
      <c r="G44" s="138">
        <v>1694.29</v>
      </c>
      <c r="H44" s="146">
        <f t="shared" si="4"/>
        <v>96.816571428571436</v>
      </c>
      <c r="I44" s="138">
        <v>1694.29</v>
      </c>
      <c r="J44" s="146">
        <f t="shared" si="2"/>
        <v>96.816571428571436</v>
      </c>
      <c r="K44" s="106"/>
      <c r="L44" s="105"/>
      <c r="M44" s="9"/>
      <c r="N44" s="10"/>
      <c r="O44" s="42"/>
      <c r="P44" s="7"/>
      <c r="Q44" s="7"/>
      <c r="T44" s="61"/>
      <c r="V44" s="21"/>
      <c r="W44" s="61"/>
    </row>
    <row r="45" spans="1:23">
      <c r="A45" s="13"/>
      <c r="B45" s="55" t="s">
        <v>52</v>
      </c>
      <c r="C45" s="103">
        <v>18523</v>
      </c>
      <c r="D45" s="103"/>
      <c r="E45" s="103">
        <v>18523</v>
      </c>
      <c r="F45" s="100"/>
      <c r="G45" s="138">
        <v>17909.28</v>
      </c>
      <c r="H45" s="146">
        <f t="shared" si="4"/>
        <v>96.686713815256695</v>
      </c>
      <c r="I45" s="138">
        <v>17909.28</v>
      </c>
      <c r="J45" s="146">
        <f t="shared" si="2"/>
        <v>96.686713815256695</v>
      </c>
      <c r="K45" s="106"/>
      <c r="L45" s="105"/>
      <c r="M45" s="9"/>
      <c r="N45" s="10"/>
      <c r="O45" s="42"/>
      <c r="P45" s="7"/>
      <c r="Q45" s="7"/>
      <c r="T45" s="61"/>
      <c r="V45" s="21"/>
      <c r="W45" s="61"/>
    </row>
    <row r="46" spans="1:23">
      <c r="A46" s="13"/>
      <c r="B46" s="55" t="s">
        <v>53</v>
      </c>
      <c r="C46" s="103">
        <v>100</v>
      </c>
      <c r="D46" s="103"/>
      <c r="E46" s="103">
        <v>100</v>
      </c>
      <c r="F46" s="100"/>
      <c r="G46" s="138">
        <v>72</v>
      </c>
      <c r="H46" s="146">
        <f t="shared" si="4"/>
        <v>72</v>
      </c>
      <c r="I46" s="138">
        <v>72</v>
      </c>
      <c r="J46" s="146">
        <f t="shared" si="2"/>
        <v>72</v>
      </c>
      <c r="K46" s="106"/>
      <c r="L46" s="105"/>
      <c r="M46" s="9"/>
      <c r="N46" s="10"/>
      <c r="O46" s="8"/>
      <c r="P46" s="7"/>
      <c r="Q46" s="7"/>
      <c r="T46" s="61"/>
      <c r="V46" s="21"/>
      <c r="W46" s="61"/>
    </row>
    <row r="47" spans="1:23" s="29" customFormat="1">
      <c r="A47" s="26"/>
      <c r="B47" s="99" t="s">
        <v>21</v>
      </c>
      <c r="C47" s="100">
        <f>SUM(C48:C48)</f>
        <v>304</v>
      </c>
      <c r="D47" s="100"/>
      <c r="E47" s="100">
        <f>SUM(E48:E48)</f>
        <v>304</v>
      </c>
      <c r="F47" s="100"/>
      <c r="G47" s="136">
        <f>SUM(G48)</f>
        <v>320.94</v>
      </c>
      <c r="H47" s="149">
        <f t="shared" si="4"/>
        <v>105.57236842105262</v>
      </c>
      <c r="I47" s="136">
        <f>SUM(I48)</f>
        <v>320.94</v>
      </c>
      <c r="J47" s="149">
        <f t="shared" si="2"/>
        <v>105.57236842105262</v>
      </c>
      <c r="K47" s="101"/>
      <c r="L47" s="101"/>
      <c r="M47" s="15">
        <f>M48</f>
        <v>0</v>
      </c>
      <c r="N47" s="16">
        <f>N48</f>
        <v>0</v>
      </c>
      <c r="O47" s="22">
        <f>O48</f>
        <v>0</v>
      </c>
      <c r="P47" s="27"/>
      <c r="Q47" s="27"/>
      <c r="T47" s="61"/>
      <c r="V47" s="21"/>
      <c r="W47" s="61"/>
    </row>
    <row r="48" spans="1:23" s="21" customFormat="1">
      <c r="A48" s="12"/>
      <c r="B48" s="102" t="s">
        <v>54</v>
      </c>
      <c r="C48" s="103">
        <f>E48</f>
        <v>304</v>
      </c>
      <c r="D48" s="103"/>
      <c r="E48" s="103">
        <v>304</v>
      </c>
      <c r="F48" s="103"/>
      <c r="G48" s="138">
        <v>320.94</v>
      </c>
      <c r="H48" s="146">
        <f t="shared" si="4"/>
        <v>105.57236842105262</v>
      </c>
      <c r="I48" s="138">
        <v>320.94</v>
      </c>
      <c r="J48" s="146">
        <f t="shared" si="2"/>
        <v>105.57236842105262</v>
      </c>
      <c r="K48" s="106"/>
      <c r="L48" s="105"/>
      <c r="M48" s="43"/>
      <c r="N48" s="44"/>
      <c r="O48" s="20"/>
      <c r="P48" s="12"/>
      <c r="Q48" s="12"/>
      <c r="T48" s="61"/>
      <c r="W48" s="61"/>
    </row>
    <row r="49" spans="1:23" s="29" customFormat="1">
      <c r="A49" s="26"/>
      <c r="B49" s="99" t="s">
        <v>22</v>
      </c>
      <c r="C49" s="100">
        <f>SUM(C50:C59)</f>
        <v>22092</v>
      </c>
      <c r="D49" s="100" t="e">
        <f>SUM(D50:D59)</f>
        <v>#REF!</v>
      </c>
      <c r="E49" s="100">
        <f>SUM(E50:E59)</f>
        <v>22092</v>
      </c>
      <c r="F49" s="100" t="s">
        <v>10</v>
      </c>
      <c r="G49" s="136">
        <f>SUM(G50:G59)</f>
        <v>21116.52</v>
      </c>
      <c r="H49" s="149">
        <f t="shared" si="4"/>
        <v>95.584464964693112</v>
      </c>
      <c r="I49" s="136">
        <f>SUM(I50:I59)</f>
        <v>21116.52</v>
      </c>
      <c r="J49" s="149">
        <f t="shared" si="2"/>
        <v>95.584464964693112</v>
      </c>
      <c r="K49" s="101"/>
      <c r="L49" s="101"/>
      <c r="M49" s="14" t="e">
        <f>M50+#REF!+#REF!+#REF!+#REF!+M51+#REF!+#REF!+M53+#REF!+M54+M55+M57+#REF!+#REF!+#REF!+M58+#REF!+#REF!+#REF!+#REF!</f>
        <v>#REF!</v>
      </c>
      <c r="N49" s="14" t="e">
        <f>N50+#REF!+#REF!+#REF!+#REF!+N51+#REF!+#REF!+N53+#REF!+N54+N55+N57+#REF!+#REF!+#REF!+N58+#REF!+#REF!+#REF!+#REF!</f>
        <v>#REF!</v>
      </c>
      <c r="O49" s="14" t="e">
        <f>O50+#REF!+#REF!+#REF!+#REF!+O51+#REF!+#REF!+O53+#REF!+O54+O55+O57+#REF!+#REF!+#REF!+O58+#REF!+#REF!+#REF!+#REF!</f>
        <v>#REF!</v>
      </c>
      <c r="P49" s="14" t="e">
        <f>P50+#REF!+#REF!+#REF!+#REF!+P51+#REF!+#REF!+P53+#REF!+P54+P55+P57+#REF!+#REF!+#REF!+P58+#REF!+#REF!+#REF!+#REF!</f>
        <v>#REF!</v>
      </c>
      <c r="Q49" s="14" t="e">
        <f>Q50+#REF!+#REF!+#REF!+#REF!+Q51+#REF!+#REF!+Q53+#REF!+Q54+Q55+Q57+#REF!+#REF!+#REF!+Q58+#REF!+#REF!+#REF!+#REF!</f>
        <v>#REF!</v>
      </c>
      <c r="T49" s="61"/>
      <c r="V49" s="21"/>
      <c r="W49" s="61"/>
    </row>
    <row r="50" spans="1:23" ht="12" customHeight="1">
      <c r="A50" s="13"/>
      <c r="B50" s="55" t="s">
        <v>55</v>
      </c>
      <c r="C50" s="103">
        <f>E50</f>
        <v>785</v>
      </c>
      <c r="D50" s="103"/>
      <c r="E50" s="103">
        <v>785</v>
      </c>
      <c r="F50" s="103"/>
      <c r="G50" s="138">
        <v>547.5</v>
      </c>
      <c r="H50" s="146">
        <f t="shared" si="4"/>
        <v>69.745222929936304</v>
      </c>
      <c r="I50" s="138">
        <v>547.5</v>
      </c>
      <c r="J50" s="146">
        <f t="shared" si="2"/>
        <v>69.745222929936304</v>
      </c>
      <c r="K50" s="108"/>
      <c r="L50" s="105"/>
      <c r="M50" s="6"/>
      <c r="N50" s="7"/>
      <c r="O50" s="8"/>
      <c r="P50" s="7"/>
      <c r="Q50" s="7"/>
      <c r="T50" s="61"/>
      <c r="V50" s="21"/>
      <c r="W50" s="61"/>
    </row>
    <row r="51" spans="1:23">
      <c r="A51" s="45"/>
      <c r="B51" s="55" t="s">
        <v>56</v>
      </c>
      <c r="C51" s="103">
        <v>3460</v>
      </c>
      <c r="D51" s="103" t="e">
        <f>#REF!+#REF!+#REF!</f>
        <v>#REF!</v>
      </c>
      <c r="E51" s="103">
        <v>3460</v>
      </c>
      <c r="F51" s="103" t="s">
        <v>10</v>
      </c>
      <c r="G51" s="138">
        <v>3473.05</v>
      </c>
      <c r="H51" s="146">
        <f t="shared" si="4"/>
        <v>100.37716763005781</v>
      </c>
      <c r="I51" s="138">
        <v>3473.05</v>
      </c>
      <c r="J51" s="146">
        <f t="shared" si="2"/>
        <v>100.37716763005781</v>
      </c>
      <c r="K51" s="108"/>
      <c r="L51" s="105"/>
      <c r="M51" s="46" t="e">
        <f>#REF!+#REF!+#REF!</f>
        <v>#REF!</v>
      </c>
      <c r="N51" s="47" t="e">
        <f>#REF!+#REF!+#REF!</f>
        <v>#REF!</v>
      </c>
      <c r="O51" s="48" t="e">
        <f>#REF!+#REF!+#REF!</f>
        <v>#REF!</v>
      </c>
      <c r="P51" s="7"/>
      <c r="Q51" s="7"/>
      <c r="T51" s="61"/>
      <c r="V51" s="21"/>
      <c r="W51" s="61"/>
    </row>
    <row r="52" spans="1:23">
      <c r="A52" s="45"/>
      <c r="B52" s="55" t="s">
        <v>57</v>
      </c>
      <c r="C52" s="103">
        <v>200</v>
      </c>
      <c r="D52" s="103"/>
      <c r="E52" s="103">
        <v>200</v>
      </c>
      <c r="F52" s="103"/>
      <c r="G52" s="138">
        <v>200</v>
      </c>
      <c r="H52" s="146">
        <f t="shared" si="4"/>
        <v>100</v>
      </c>
      <c r="I52" s="138">
        <v>200</v>
      </c>
      <c r="J52" s="146">
        <f t="shared" si="2"/>
        <v>100</v>
      </c>
      <c r="K52" s="108"/>
      <c r="L52" s="105"/>
      <c r="M52" s="46"/>
      <c r="N52" s="47"/>
      <c r="O52" s="48"/>
      <c r="P52" s="7"/>
      <c r="Q52" s="7"/>
      <c r="T52" s="61"/>
      <c r="V52" s="21"/>
      <c r="W52" s="61"/>
    </row>
    <row r="53" spans="1:23">
      <c r="A53" s="13"/>
      <c r="B53" s="55" t="s">
        <v>58</v>
      </c>
      <c r="C53" s="103">
        <f t="shared" ref="C53:C58" si="7">E53</f>
        <v>800</v>
      </c>
      <c r="D53" s="103"/>
      <c r="E53" s="103">
        <v>800</v>
      </c>
      <c r="F53" s="103"/>
      <c r="G53" s="138">
        <v>132.88</v>
      </c>
      <c r="H53" s="146">
        <f t="shared" si="4"/>
        <v>16.61</v>
      </c>
      <c r="I53" s="138">
        <v>132.88</v>
      </c>
      <c r="J53" s="146">
        <f t="shared" si="2"/>
        <v>16.61</v>
      </c>
      <c r="K53" s="108"/>
      <c r="L53" s="105"/>
      <c r="M53" s="9"/>
      <c r="N53" s="10"/>
      <c r="O53" s="8"/>
      <c r="P53" s="7"/>
      <c r="Q53" s="7"/>
      <c r="T53" s="61"/>
      <c r="V53" s="21"/>
      <c r="W53" s="61"/>
    </row>
    <row r="54" spans="1:23">
      <c r="A54" s="13"/>
      <c r="B54" s="55" t="s">
        <v>59</v>
      </c>
      <c r="C54" s="103">
        <f t="shared" si="7"/>
        <v>8550</v>
      </c>
      <c r="D54" s="103"/>
      <c r="E54" s="103">
        <v>8550</v>
      </c>
      <c r="F54" s="103"/>
      <c r="G54" s="138">
        <v>8821.7800000000007</v>
      </c>
      <c r="H54" s="146">
        <f t="shared" si="4"/>
        <v>103.17871345029242</v>
      </c>
      <c r="I54" s="138">
        <v>8821.7800000000007</v>
      </c>
      <c r="J54" s="146">
        <f t="shared" si="2"/>
        <v>103.17871345029242</v>
      </c>
      <c r="K54" s="108"/>
      <c r="L54" s="105"/>
      <c r="M54" s="9"/>
      <c r="N54" s="10"/>
      <c r="O54" s="8"/>
      <c r="P54" s="7"/>
      <c r="Q54" s="7"/>
      <c r="T54" s="61"/>
      <c r="V54" s="21"/>
      <c r="W54" s="61"/>
    </row>
    <row r="55" spans="1:23">
      <c r="A55" s="13"/>
      <c r="B55" s="55" t="s">
        <v>60</v>
      </c>
      <c r="C55" s="103">
        <v>3850</v>
      </c>
      <c r="D55" s="103"/>
      <c r="E55" s="103">
        <v>3850</v>
      </c>
      <c r="F55" s="103"/>
      <c r="G55" s="138">
        <v>3798.31</v>
      </c>
      <c r="H55" s="146">
        <f t="shared" si="4"/>
        <v>98.657402597402594</v>
      </c>
      <c r="I55" s="138">
        <v>3798.31</v>
      </c>
      <c r="J55" s="146">
        <f t="shared" si="2"/>
        <v>98.657402597402594</v>
      </c>
      <c r="K55" s="108"/>
      <c r="L55" s="105"/>
      <c r="M55" s="9"/>
      <c r="N55" s="10"/>
      <c r="O55" s="8"/>
      <c r="P55" s="7"/>
      <c r="Q55" s="7"/>
      <c r="T55" s="61"/>
      <c r="V55" s="21"/>
      <c r="W55" s="61"/>
    </row>
    <row r="56" spans="1:23">
      <c r="A56" s="58"/>
      <c r="B56" s="55" t="s">
        <v>142</v>
      </c>
      <c r="C56" s="103">
        <v>7</v>
      </c>
      <c r="D56" s="103"/>
      <c r="E56" s="103">
        <v>7</v>
      </c>
      <c r="F56" s="103"/>
      <c r="G56" s="138">
        <v>6.64</v>
      </c>
      <c r="H56" s="146">
        <f t="shared" si="4"/>
        <v>94.857142857142847</v>
      </c>
      <c r="I56" s="138">
        <v>6.64</v>
      </c>
      <c r="J56" s="146">
        <f t="shared" si="2"/>
        <v>94.857142857142847</v>
      </c>
      <c r="K56" s="108"/>
      <c r="L56" s="105"/>
      <c r="M56" s="9"/>
      <c r="N56" s="10"/>
      <c r="O56" s="8"/>
      <c r="P56" s="7"/>
      <c r="Q56" s="7"/>
      <c r="T56" s="61"/>
      <c r="V56" s="21"/>
      <c r="W56" s="61"/>
    </row>
    <row r="57" spans="1:23">
      <c r="A57" s="49"/>
      <c r="B57" s="55" t="s">
        <v>61</v>
      </c>
      <c r="C57" s="103">
        <v>3600</v>
      </c>
      <c r="D57" s="103"/>
      <c r="E57" s="103">
        <v>3600</v>
      </c>
      <c r="F57" s="103"/>
      <c r="G57" s="138">
        <v>3538.73</v>
      </c>
      <c r="H57" s="146">
        <f t="shared" si="4"/>
        <v>98.29805555555555</v>
      </c>
      <c r="I57" s="138">
        <v>3538.73</v>
      </c>
      <c r="J57" s="146">
        <f t="shared" si="2"/>
        <v>98.29805555555555</v>
      </c>
      <c r="K57" s="108"/>
      <c r="L57" s="105"/>
      <c r="M57" s="9"/>
      <c r="N57" s="10"/>
      <c r="O57" s="8"/>
      <c r="P57" s="7"/>
      <c r="Q57" s="7"/>
      <c r="T57" s="61"/>
      <c r="V57" s="21"/>
      <c r="W57" s="61" t="s">
        <v>10</v>
      </c>
    </row>
    <row r="58" spans="1:23">
      <c r="A58" s="26"/>
      <c r="B58" s="55" t="s">
        <v>156</v>
      </c>
      <c r="C58" s="103">
        <f t="shared" si="7"/>
        <v>500</v>
      </c>
      <c r="D58" s="103"/>
      <c r="E58" s="103">
        <v>500</v>
      </c>
      <c r="F58" s="103"/>
      <c r="G58" s="138">
        <v>256.14999999999998</v>
      </c>
      <c r="H58" s="146">
        <f t="shared" si="4"/>
        <v>51.23</v>
      </c>
      <c r="I58" s="138">
        <v>256.14999999999998</v>
      </c>
      <c r="J58" s="146">
        <f t="shared" si="2"/>
        <v>51.23</v>
      </c>
      <c r="K58" s="108"/>
      <c r="L58" s="105"/>
      <c r="M58" s="9"/>
      <c r="N58" s="10"/>
      <c r="O58" s="8"/>
      <c r="P58" s="7"/>
      <c r="Q58" s="7"/>
      <c r="T58" s="61"/>
      <c r="V58" s="21"/>
      <c r="W58" s="61"/>
    </row>
    <row r="59" spans="1:23">
      <c r="A59" s="26"/>
      <c r="B59" s="55" t="s">
        <v>62</v>
      </c>
      <c r="C59" s="103">
        <v>340</v>
      </c>
      <c r="D59" s="103"/>
      <c r="E59" s="103">
        <v>340</v>
      </c>
      <c r="F59" s="103"/>
      <c r="G59" s="138">
        <v>341.48</v>
      </c>
      <c r="H59" s="146">
        <f t="shared" si="4"/>
        <v>100.43529411764706</v>
      </c>
      <c r="I59" s="138">
        <v>341.48</v>
      </c>
      <c r="J59" s="146">
        <f t="shared" si="2"/>
        <v>100.43529411764706</v>
      </c>
      <c r="K59" s="108"/>
      <c r="L59" s="105"/>
      <c r="M59" s="9"/>
      <c r="N59" s="10"/>
      <c r="O59" s="8"/>
      <c r="P59" s="7"/>
      <c r="Q59" s="7"/>
      <c r="T59" s="61"/>
      <c r="V59" s="21"/>
      <c r="W59" s="61"/>
    </row>
    <row r="60" spans="1:23" s="29" customFormat="1">
      <c r="A60" s="26"/>
      <c r="B60" s="99" t="s">
        <v>23</v>
      </c>
      <c r="C60" s="100">
        <f>SUM(C61:C63)</f>
        <v>3888</v>
      </c>
      <c r="D60" s="100">
        <f>SUM(D61:D62)</f>
        <v>0</v>
      </c>
      <c r="E60" s="100">
        <f>SUM(E61:E63)</f>
        <v>3888</v>
      </c>
      <c r="F60" s="100" t="s">
        <v>10</v>
      </c>
      <c r="G60" s="136">
        <f>SUM(G61:G63)</f>
        <v>3629.62</v>
      </c>
      <c r="H60" s="149">
        <f t="shared" si="4"/>
        <v>93.35442386831275</v>
      </c>
      <c r="I60" s="136">
        <f>SUM(I61:I63)</f>
        <v>3629.62</v>
      </c>
      <c r="J60" s="149">
        <f t="shared" si="2"/>
        <v>93.35442386831275</v>
      </c>
      <c r="K60" s="101"/>
      <c r="L60" s="101"/>
      <c r="M60" s="35">
        <f>SUM(M61:M62)</f>
        <v>0</v>
      </c>
      <c r="N60" s="36">
        <f>SUM(N61:N62)</f>
        <v>0</v>
      </c>
      <c r="O60" s="37">
        <f>SUM(O61:O62)</f>
        <v>0</v>
      </c>
      <c r="P60" s="27"/>
      <c r="Q60" s="27"/>
      <c r="T60" s="61"/>
      <c r="V60" s="21"/>
      <c r="W60" s="61"/>
    </row>
    <row r="61" spans="1:23">
      <c r="A61" s="13"/>
      <c r="B61" s="55" t="s">
        <v>135</v>
      </c>
      <c r="C61" s="103">
        <v>2609</v>
      </c>
      <c r="D61" s="103"/>
      <c r="E61" s="103">
        <v>2609</v>
      </c>
      <c r="F61" s="103"/>
      <c r="G61" s="138">
        <v>2609</v>
      </c>
      <c r="H61" s="146">
        <f t="shared" si="2"/>
        <v>100</v>
      </c>
      <c r="I61" s="138">
        <v>2609</v>
      </c>
      <c r="J61" s="146">
        <f t="shared" si="2"/>
        <v>100</v>
      </c>
      <c r="K61" s="106"/>
      <c r="L61" s="105"/>
      <c r="M61" s="9"/>
      <c r="N61" s="10"/>
      <c r="O61" s="8"/>
      <c r="P61" s="7"/>
      <c r="Q61" s="7"/>
      <c r="T61" s="61"/>
      <c r="V61" s="21"/>
      <c r="W61" s="61"/>
    </row>
    <row r="62" spans="1:23">
      <c r="A62" s="13"/>
      <c r="B62" s="55" t="s">
        <v>136</v>
      </c>
      <c r="C62" s="151">
        <v>57</v>
      </c>
      <c r="D62" s="103"/>
      <c r="E62" s="103">
        <v>57</v>
      </c>
      <c r="F62" s="103"/>
      <c r="G62" s="138">
        <v>57.24</v>
      </c>
      <c r="H62" s="146">
        <f t="shared" si="2"/>
        <v>100.42105263157895</v>
      </c>
      <c r="I62" s="138">
        <v>57.24</v>
      </c>
      <c r="J62" s="146">
        <f t="shared" si="2"/>
        <v>100.42105263157895</v>
      </c>
      <c r="K62" s="106"/>
      <c r="L62" s="105"/>
      <c r="M62" s="9"/>
      <c r="N62" s="10"/>
      <c r="O62" s="8"/>
      <c r="P62" s="7"/>
      <c r="Q62" s="7"/>
      <c r="T62" s="61"/>
      <c r="V62" s="21"/>
      <c r="W62" s="61"/>
    </row>
    <row r="63" spans="1:23">
      <c r="A63" s="45"/>
      <c r="B63" s="56" t="s">
        <v>65</v>
      </c>
      <c r="C63" s="103">
        <f>E63</f>
        <v>1222</v>
      </c>
      <c r="D63" s="103"/>
      <c r="E63" s="103">
        <v>1222</v>
      </c>
      <c r="F63" s="100"/>
      <c r="G63" s="138">
        <v>963.38</v>
      </c>
      <c r="H63" s="146">
        <f t="shared" si="4"/>
        <v>78.836333878887061</v>
      </c>
      <c r="I63" s="138">
        <v>963.38</v>
      </c>
      <c r="J63" s="146">
        <f t="shared" si="2"/>
        <v>78.836333878887061</v>
      </c>
      <c r="K63" s="106"/>
      <c r="L63" s="105"/>
      <c r="M63" s="9"/>
      <c r="N63" s="10"/>
      <c r="O63" s="8"/>
      <c r="P63" s="7"/>
      <c r="Q63" s="7"/>
      <c r="T63" s="61"/>
      <c r="V63" s="21"/>
      <c r="W63" s="61"/>
    </row>
    <row r="64" spans="1:23">
      <c r="A64" s="45"/>
      <c r="B64" s="99" t="s">
        <v>66</v>
      </c>
      <c r="C64" s="100">
        <f>SUM(C65:C67)</f>
        <v>16345</v>
      </c>
      <c r="D64" s="103"/>
      <c r="E64" s="100">
        <f>SUM(E65:E67)</f>
        <v>0</v>
      </c>
      <c r="F64" s="100">
        <f>SUM(F65:F67)</f>
        <v>16345</v>
      </c>
      <c r="G64" s="136">
        <f>SUM(G65:G67)</f>
        <v>16157.09</v>
      </c>
      <c r="H64" s="149">
        <f>G64/C64*100</f>
        <v>98.850351789538081</v>
      </c>
      <c r="I64" s="136"/>
      <c r="J64" s="146"/>
      <c r="K64" s="136">
        <f>SUM(K65:K67)</f>
        <v>16157.09</v>
      </c>
      <c r="L64" s="149">
        <f>K64/F64*100</f>
        <v>98.850351789538081</v>
      </c>
      <c r="M64" s="9"/>
      <c r="N64" s="10"/>
      <c r="O64" s="8"/>
      <c r="P64" s="7"/>
      <c r="Q64" s="7"/>
      <c r="T64" s="61"/>
      <c r="V64" s="21"/>
      <c r="W64" s="61"/>
    </row>
    <row r="65" spans="1:23">
      <c r="A65" s="45"/>
      <c r="B65" s="126" t="s">
        <v>137</v>
      </c>
      <c r="C65" s="103">
        <v>1000</v>
      </c>
      <c r="D65" s="103"/>
      <c r="E65" s="103"/>
      <c r="F65" s="103">
        <v>1000</v>
      </c>
      <c r="G65" s="138">
        <v>1000</v>
      </c>
      <c r="H65" s="146">
        <f>G65/C65*100</f>
        <v>100</v>
      </c>
      <c r="I65" s="139"/>
      <c r="J65" s="146"/>
      <c r="K65" s="106">
        <v>1000</v>
      </c>
      <c r="L65" s="146">
        <f>K65/F65*100</f>
        <v>100</v>
      </c>
      <c r="M65" s="9"/>
      <c r="N65" s="10"/>
      <c r="O65" s="8"/>
      <c r="P65" s="7"/>
      <c r="Q65" s="7"/>
      <c r="T65" s="61"/>
      <c r="V65" s="21"/>
      <c r="W65" s="61"/>
    </row>
    <row r="66" spans="1:23">
      <c r="A66" s="45"/>
      <c r="B66" s="126" t="s">
        <v>138</v>
      </c>
      <c r="C66" s="103">
        <v>4945</v>
      </c>
      <c r="D66" s="103"/>
      <c r="E66" s="103"/>
      <c r="F66" s="103">
        <v>4945</v>
      </c>
      <c r="G66" s="138">
        <v>4945</v>
      </c>
      <c r="H66" s="146">
        <f>G66/C66*100</f>
        <v>100</v>
      </c>
      <c r="I66" s="139"/>
      <c r="J66" s="146"/>
      <c r="K66" s="106">
        <v>4945</v>
      </c>
      <c r="L66" s="146">
        <f t="shared" ref="L66:L67" si="8">K66/F66*100</f>
        <v>100</v>
      </c>
      <c r="M66" s="9"/>
      <c r="N66" s="10"/>
      <c r="O66" s="8"/>
      <c r="P66" s="7"/>
      <c r="Q66" s="7"/>
      <c r="T66" s="61"/>
      <c r="V66" s="21"/>
      <c r="W66" s="61"/>
    </row>
    <row r="67" spans="1:23">
      <c r="A67" s="45"/>
      <c r="B67" s="56" t="s">
        <v>67</v>
      </c>
      <c r="C67" s="103">
        <v>10400</v>
      </c>
      <c r="D67" s="103"/>
      <c r="E67" s="103"/>
      <c r="F67" s="103">
        <v>10400</v>
      </c>
      <c r="G67" s="138">
        <v>10212.09</v>
      </c>
      <c r="H67" s="146">
        <f>G67/C67*100</f>
        <v>98.193173076923074</v>
      </c>
      <c r="I67" s="138"/>
      <c r="J67" s="146"/>
      <c r="K67" s="106">
        <v>10212.09</v>
      </c>
      <c r="L67" s="146">
        <f t="shared" si="8"/>
        <v>98.193173076923074</v>
      </c>
      <c r="M67" s="9"/>
      <c r="N67" s="10"/>
      <c r="O67" s="8"/>
      <c r="P67" s="7"/>
      <c r="Q67" s="7"/>
      <c r="T67" s="61"/>
      <c r="V67" s="21"/>
      <c r="W67" s="61"/>
    </row>
    <row r="68" spans="1:23">
      <c r="A68" s="52"/>
      <c r="B68" s="97" t="s">
        <v>139</v>
      </c>
      <c r="C68" s="109">
        <v>200</v>
      </c>
      <c r="D68" s="109">
        <f>D69+D71</f>
        <v>0</v>
      </c>
      <c r="E68" s="109">
        <v>200</v>
      </c>
      <c r="F68" s="109">
        <v>0</v>
      </c>
      <c r="G68" s="140">
        <f>G69</f>
        <v>200</v>
      </c>
      <c r="H68" s="135">
        <f>G68/C68*100</f>
        <v>100</v>
      </c>
      <c r="I68" s="140">
        <f>I69</f>
        <v>200</v>
      </c>
      <c r="J68" s="135">
        <f>I68/E68*100</f>
        <v>100</v>
      </c>
      <c r="K68" s="109"/>
      <c r="L68" s="109"/>
      <c r="M68" s="77" t="e">
        <f t="shared" ref="M68:Q68" si="9">M69+M71</f>
        <v>#REF!</v>
      </c>
      <c r="N68" s="77" t="e">
        <f t="shared" si="9"/>
        <v>#REF!</v>
      </c>
      <c r="O68" s="77" t="e">
        <f t="shared" si="9"/>
        <v>#REF!</v>
      </c>
      <c r="P68" s="77">
        <f t="shared" si="9"/>
        <v>0</v>
      </c>
      <c r="Q68" s="77">
        <f t="shared" si="9"/>
        <v>0</v>
      </c>
    </row>
    <row r="69" spans="1:23" s="29" customFormat="1">
      <c r="A69" s="26"/>
      <c r="B69" s="126" t="s">
        <v>140</v>
      </c>
      <c r="C69" s="103">
        <v>200</v>
      </c>
      <c r="D69" s="103">
        <f>SUM(D70:D70)</f>
        <v>0</v>
      </c>
      <c r="E69" s="103">
        <v>200</v>
      </c>
      <c r="F69" s="100"/>
      <c r="G69" s="137">
        <v>200</v>
      </c>
      <c r="H69" s="146">
        <f t="shared" ref="H69:J69" si="10">G69/C69*100</f>
        <v>100</v>
      </c>
      <c r="I69" s="137">
        <v>200</v>
      </c>
      <c r="J69" s="146">
        <f t="shared" si="10"/>
        <v>100</v>
      </c>
      <c r="K69" s="101"/>
      <c r="L69" s="101"/>
      <c r="M69" s="23" t="e">
        <f>SUM(M70:M70)</f>
        <v>#REF!</v>
      </c>
      <c r="N69" s="24" t="e">
        <f>SUM(N70:N70)</f>
        <v>#REF!</v>
      </c>
      <c r="O69" s="25" t="e">
        <f>SUM(O70:O70)</f>
        <v>#REF!</v>
      </c>
      <c r="P69" s="27"/>
      <c r="Q69" s="27"/>
    </row>
    <row r="70" spans="1:23">
      <c r="A70" s="52"/>
      <c r="B70" s="97" t="s">
        <v>24</v>
      </c>
      <c r="C70" s="109">
        <f>C71+C73</f>
        <v>8190</v>
      </c>
      <c r="D70" s="109">
        <f>D71+D73</f>
        <v>0</v>
      </c>
      <c r="E70" s="109">
        <f>E71+E73</f>
        <v>8190</v>
      </c>
      <c r="F70" s="109">
        <v>0</v>
      </c>
      <c r="G70" s="140">
        <f>G71+G73</f>
        <v>8190</v>
      </c>
      <c r="H70" s="135">
        <f>G70/C70*100</f>
        <v>100</v>
      </c>
      <c r="I70" s="140">
        <f>I71+I73</f>
        <v>8190</v>
      </c>
      <c r="J70" s="135">
        <f>I70/E70*100</f>
        <v>100</v>
      </c>
      <c r="K70" s="109"/>
      <c r="L70" s="109"/>
      <c r="M70" s="77" t="e">
        <f t="shared" ref="M70:Q70" si="11">M71+M73</f>
        <v>#REF!</v>
      </c>
      <c r="N70" s="77" t="e">
        <f t="shared" si="11"/>
        <v>#REF!</v>
      </c>
      <c r="O70" s="77" t="e">
        <f t="shared" si="11"/>
        <v>#REF!</v>
      </c>
      <c r="P70" s="77">
        <f t="shared" si="11"/>
        <v>0</v>
      </c>
      <c r="Q70" s="77">
        <f t="shared" si="11"/>
        <v>0</v>
      </c>
    </row>
    <row r="71" spans="1:23" s="29" customFormat="1">
      <c r="A71" s="26"/>
      <c r="B71" s="99" t="s">
        <v>25</v>
      </c>
      <c r="C71" s="100">
        <v>6069</v>
      </c>
      <c r="D71" s="100">
        <f>SUM(D72:D72)</f>
        <v>0</v>
      </c>
      <c r="E71" s="100">
        <v>6069</v>
      </c>
      <c r="F71" s="100"/>
      <c r="G71" s="136">
        <f>SUM(G72)</f>
        <v>6069</v>
      </c>
      <c r="H71" s="149">
        <f t="shared" si="2"/>
        <v>100</v>
      </c>
      <c r="I71" s="136">
        <f>SUM(I72)</f>
        <v>6069</v>
      </c>
      <c r="J71" s="149">
        <f t="shared" si="2"/>
        <v>100</v>
      </c>
      <c r="K71" s="101"/>
      <c r="L71" s="101"/>
      <c r="M71" s="23">
        <f>SUM(M72:M72)</f>
        <v>0</v>
      </c>
      <c r="N71" s="24">
        <f>SUM(N72:N72)</f>
        <v>0</v>
      </c>
      <c r="O71" s="25">
        <f>SUM(O72:O72)</f>
        <v>0</v>
      </c>
      <c r="P71" s="27"/>
      <c r="Q71" s="27"/>
    </row>
    <row r="72" spans="1:23">
      <c r="A72" s="26"/>
      <c r="B72" s="55" t="s">
        <v>12</v>
      </c>
      <c r="C72" s="103">
        <v>6069</v>
      </c>
      <c r="D72" s="103"/>
      <c r="E72" s="103">
        <v>6069</v>
      </c>
      <c r="F72" s="103"/>
      <c r="G72" s="137">
        <v>6069</v>
      </c>
      <c r="H72" s="146">
        <f t="shared" si="2"/>
        <v>100</v>
      </c>
      <c r="I72" s="137">
        <v>6069</v>
      </c>
      <c r="J72" s="146">
        <f t="shared" si="2"/>
        <v>100</v>
      </c>
      <c r="K72" s="105"/>
      <c r="L72" s="105"/>
      <c r="M72" s="9"/>
      <c r="N72" s="10"/>
      <c r="O72" s="11"/>
      <c r="P72" s="7"/>
      <c r="Q72" s="7"/>
    </row>
    <row r="73" spans="1:23" s="29" customFormat="1">
      <c r="A73" s="26"/>
      <c r="B73" s="99" t="s">
        <v>26</v>
      </c>
      <c r="C73" s="100">
        <f>SUM(C74:C74)</f>
        <v>2121</v>
      </c>
      <c r="D73" s="100">
        <f>SUM(D74:D74)</f>
        <v>0</v>
      </c>
      <c r="E73" s="100">
        <f>SUM(E74:E74)</f>
        <v>2121</v>
      </c>
      <c r="F73" s="100"/>
      <c r="G73" s="136">
        <f>SUM(G74)</f>
        <v>2121</v>
      </c>
      <c r="H73" s="149">
        <f t="shared" si="2"/>
        <v>100</v>
      </c>
      <c r="I73" s="136">
        <f>SUM(I74)</f>
        <v>2121</v>
      </c>
      <c r="J73" s="149">
        <f t="shared" si="2"/>
        <v>100</v>
      </c>
      <c r="K73" s="101"/>
      <c r="L73" s="101"/>
      <c r="M73" s="23" t="e">
        <f>SUM(#REF!)</f>
        <v>#REF!</v>
      </c>
      <c r="N73" s="24" t="e">
        <f>SUM(#REF!)</f>
        <v>#REF!</v>
      </c>
      <c r="O73" s="25" t="e">
        <f>SUM(#REF!)</f>
        <v>#REF!</v>
      </c>
      <c r="P73" s="27"/>
      <c r="Q73" s="27"/>
    </row>
    <row r="74" spans="1:23">
      <c r="A74" s="13"/>
      <c r="B74" s="102" t="s">
        <v>157</v>
      </c>
      <c r="C74" s="103">
        <v>2121</v>
      </c>
      <c r="D74" s="100"/>
      <c r="E74" s="103">
        <v>2121</v>
      </c>
      <c r="F74" s="103"/>
      <c r="G74" s="137">
        <v>2121</v>
      </c>
      <c r="H74" s="146">
        <f t="shared" si="2"/>
        <v>100</v>
      </c>
      <c r="I74" s="137">
        <v>2121</v>
      </c>
      <c r="J74" s="146">
        <f t="shared" si="2"/>
        <v>100</v>
      </c>
      <c r="K74" s="105"/>
      <c r="L74" s="105"/>
      <c r="M74" s="23"/>
      <c r="N74" s="24"/>
      <c r="O74" s="25"/>
      <c r="P74" s="7"/>
      <c r="Q74" s="7"/>
    </row>
    <row r="75" spans="1:23">
      <c r="A75" s="26"/>
      <c r="B75" s="97" t="s">
        <v>27</v>
      </c>
      <c r="C75" s="109">
        <f>C76+C78+C80</f>
        <v>5319</v>
      </c>
      <c r="D75" s="109" t="e">
        <f>D76+D78+D80+#REF!+#REF!+#REF!</f>
        <v>#REF!</v>
      </c>
      <c r="E75" s="109">
        <f>E76+E78+E80</f>
        <v>5319</v>
      </c>
      <c r="F75" s="109" t="s">
        <v>10</v>
      </c>
      <c r="G75" s="140">
        <f>G76+G78+G80</f>
        <v>7535.72</v>
      </c>
      <c r="H75" s="140">
        <v>49.64</v>
      </c>
      <c r="I75" s="140">
        <f>I76+I78+I80</f>
        <v>7535.72</v>
      </c>
      <c r="J75" s="135">
        <f>I75/E75*100</f>
        <v>141.67550291408159</v>
      </c>
      <c r="K75" s="109"/>
      <c r="L75" s="109"/>
      <c r="M75" s="77" t="e">
        <f>M76+M78+M80+#REF!+#REF!+#REF!</f>
        <v>#REF!</v>
      </c>
      <c r="N75" s="77" t="e">
        <f>N76+N78+N80+#REF!+#REF!+#REF!</f>
        <v>#REF!</v>
      </c>
      <c r="O75" s="77" t="e">
        <f>O76+O78+O80+#REF!+#REF!+#REF!</f>
        <v>#REF!</v>
      </c>
      <c r="P75" s="77" t="e">
        <f>P76+P78+P80+#REF!+#REF!+#REF!</f>
        <v>#REF!</v>
      </c>
      <c r="Q75" s="77" t="e">
        <f>Q76+Q78+Q80+#REF!+#REF!+#REF!</f>
        <v>#REF!</v>
      </c>
      <c r="T75" s="62"/>
    </row>
    <row r="76" spans="1:23" s="29" customFormat="1">
      <c r="A76" s="26"/>
      <c r="B76" s="99" t="s">
        <v>25</v>
      </c>
      <c r="C76" s="100">
        <f>SUM(C77:C77)</f>
        <v>3000</v>
      </c>
      <c r="D76" s="100">
        <f>SUM(D77:D77)</f>
        <v>0</v>
      </c>
      <c r="E76" s="100">
        <f>SUM(E77:E77)</f>
        <v>3000</v>
      </c>
      <c r="F76" s="100"/>
      <c r="G76" s="136">
        <f>SUM(G77)</f>
        <v>4642.25</v>
      </c>
      <c r="H76" s="149">
        <f t="shared" si="2"/>
        <v>154.74166666666667</v>
      </c>
      <c r="I76" s="136">
        <f>SUM(I77)</f>
        <v>4642.25</v>
      </c>
      <c r="J76" s="149">
        <f t="shared" si="2"/>
        <v>154.74166666666667</v>
      </c>
      <c r="K76" s="101"/>
      <c r="L76" s="101"/>
      <c r="M76" s="23">
        <f>SUM(M77:M77)</f>
        <v>0</v>
      </c>
      <c r="N76" s="24">
        <f>SUM(N77:N77)</f>
        <v>0</v>
      </c>
      <c r="O76" s="25">
        <f>SUM(O77:O77)</f>
        <v>0</v>
      </c>
      <c r="P76" s="27"/>
      <c r="Q76" s="27"/>
      <c r="T76" s="62"/>
      <c r="W76" s="62"/>
    </row>
    <row r="77" spans="1:23">
      <c r="A77" s="26"/>
      <c r="B77" s="55" t="s">
        <v>68</v>
      </c>
      <c r="C77" s="103">
        <f>E77</f>
        <v>3000</v>
      </c>
      <c r="D77" s="103"/>
      <c r="E77" s="103">
        <v>3000</v>
      </c>
      <c r="F77" s="103"/>
      <c r="G77" s="137">
        <v>4642.25</v>
      </c>
      <c r="H77" s="146">
        <f t="shared" si="2"/>
        <v>154.74166666666667</v>
      </c>
      <c r="I77" s="137">
        <v>4642.25</v>
      </c>
      <c r="J77" s="146">
        <f t="shared" si="2"/>
        <v>154.74166666666667</v>
      </c>
      <c r="K77" s="105"/>
      <c r="L77" s="105"/>
      <c r="M77" s="9"/>
      <c r="N77" s="10"/>
      <c r="O77" s="11"/>
      <c r="P77" s="7"/>
      <c r="Q77" s="7"/>
      <c r="T77" s="62"/>
      <c r="V77" s="29"/>
      <c r="W77" s="62"/>
    </row>
    <row r="78" spans="1:23" s="29" customFormat="1">
      <c r="A78" s="26"/>
      <c r="B78" s="99" t="s">
        <v>26</v>
      </c>
      <c r="C78" s="100">
        <f>SUM(C79:C79)</f>
        <v>1048</v>
      </c>
      <c r="D78" s="100">
        <f>SUM(D79:D79)</f>
        <v>0</v>
      </c>
      <c r="E78" s="100">
        <f>SUM(E79:E79)</f>
        <v>1048</v>
      </c>
      <c r="F78" s="100"/>
      <c r="G78" s="136">
        <f>SUM(G79)</f>
        <v>1622.47</v>
      </c>
      <c r="H78" s="149">
        <f t="shared" si="2"/>
        <v>154.81583969465649</v>
      </c>
      <c r="I78" s="136">
        <f>SUM(I79)</f>
        <v>1622.47</v>
      </c>
      <c r="J78" s="149">
        <f t="shared" si="2"/>
        <v>154.81583969465649</v>
      </c>
      <c r="K78" s="101"/>
      <c r="L78" s="101"/>
      <c r="M78" s="23" t="e">
        <f>SUM(#REF!)</f>
        <v>#REF!</v>
      </c>
      <c r="N78" s="24" t="e">
        <f>SUM(#REF!)</f>
        <v>#REF!</v>
      </c>
      <c r="O78" s="25" t="e">
        <f>SUM(#REF!)</f>
        <v>#REF!</v>
      </c>
      <c r="P78" s="27"/>
      <c r="Q78" s="27"/>
      <c r="T78" s="62"/>
      <c r="W78" s="62"/>
    </row>
    <row r="79" spans="1:23">
      <c r="A79" s="26"/>
      <c r="B79" s="102" t="s">
        <v>122</v>
      </c>
      <c r="C79" s="103">
        <v>1048</v>
      </c>
      <c r="D79" s="103"/>
      <c r="E79" s="103">
        <v>1048</v>
      </c>
      <c r="F79" s="103"/>
      <c r="G79" s="137">
        <v>1622.47</v>
      </c>
      <c r="H79" s="146">
        <f t="shared" si="2"/>
        <v>154.81583969465649</v>
      </c>
      <c r="I79" s="137">
        <v>1622.47</v>
      </c>
      <c r="J79" s="146">
        <f t="shared" si="2"/>
        <v>154.81583969465649</v>
      </c>
      <c r="K79" s="101"/>
      <c r="L79" s="105"/>
      <c r="M79" s="23"/>
      <c r="N79" s="24"/>
      <c r="O79" s="25"/>
      <c r="P79" s="7"/>
      <c r="Q79" s="7"/>
      <c r="T79" s="62"/>
      <c r="V79" s="29"/>
      <c r="W79" s="62"/>
    </row>
    <row r="80" spans="1:23" s="29" customFormat="1" ht="14.4" customHeight="1">
      <c r="A80" s="26"/>
      <c r="B80" s="99" t="s">
        <v>18</v>
      </c>
      <c r="C80" s="100">
        <f>SUM(C81:C81)</f>
        <v>1271</v>
      </c>
      <c r="D80" s="100" t="e">
        <f>#REF!+D81</f>
        <v>#REF!</v>
      </c>
      <c r="E80" s="100">
        <f>SUM(E81:E81)</f>
        <v>1271</v>
      </c>
      <c r="F80" s="100" t="s">
        <v>10</v>
      </c>
      <c r="G80" s="136">
        <f>SUM(G81)</f>
        <v>1271</v>
      </c>
      <c r="H80" s="149">
        <f t="shared" si="2"/>
        <v>100</v>
      </c>
      <c r="I80" s="136">
        <f>SUM(I81)</f>
        <v>1271</v>
      </c>
      <c r="J80" s="149">
        <f t="shared" si="2"/>
        <v>100</v>
      </c>
      <c r="K80" s="101"/>
      <c r="L80" s="101"/>
      <c r="M80" s="23" t="e">
        <f>SUM(#REF!,#REF!,M81,#REF!,#REF!)</f>
        <v>#REF!</v>
      </c>
      <c r="N80" s="24" t="e">
        <f>SUM(#REF!,#REF!,N81,#REF!,#REF!)</f>
        <v>#REF!</v>
      </c>
      <c r="O80" s="24" t="e">
        <f>SUM(#REF!,#REF!,O81,#REF!,#REF!)</f>
        <v>#REF!</v>
      </c>
      <c r="P80" s="24" t="e">
        <f>SUM(#REF!,#REF!,P81,#REF!,#REF!)</f>
        <v>#REF!</v>
      </c>
      <c r="Q80" s="24" t="e">
        <f>SUM(#REF!,#REF!,Q81,#REF!,#REF!)</f>
        <v>#REF!</v>
      </c>
      <c r="T80" s="62"/>
      <c r="W80" s="62"/>
    </row>
    <row r="81" spans="1:23" ht="14.4" customHeight="1">
      <c r="A81" s="26"/>
      <c r="B81" s="55" t="s">
        <v>69</v>
      </c>
      <c r="C81" s="103">
        <v>1271</v>
      </c>
      <c r="D81" s="103"/>
      <c r="E81" s="103">
        <v>1271</v>
      </c>
      <c r="F81" s="103"/>
      <c r="G81" s="137">
        <v>1271</v>
      </c>
      <c r="H81" s="146">
        <f t="shared" si="2"/>
        <v>100</v>
      </c>
      <c r="I81" s="137">
        <v>1271</v>
      </c>
      <c r="J81" s="146">
        <f t="shared" si="2"/>
        <v>100</v>
      </c>
      <c r="K81" s="105"/>
      <c r="L81" s="105"/>
      <c r="M81" s="9"/>
      <c r="N81" s="10"/>
      <c r="O81" s="11"/>
      <c r="P81" s="7"/>
      <c r="Q81" s="7"/>
      <c r="T81" s="62"/>
      <c r="V81" s="29"/>
      <c r="W81" s="62"/>
    </row>
    <row r="82" spans="1:23" ht="14.4" customHeight="1">
      <c r="A82" s="26"/>
      <c r="B82" s="97" t="s">
        <v>28</v>
      </c>
      <c r="C82" s="109">
        <f>E82</f>
        <v>706</v>
      </c>
      <c r="D82" s="109" t="e">
        <f>#REF!+#REF!+#REF!+#REF!+#REF!+#REF!+#REF!+#REF!</f>
        <v>#REF!</v>
      </c>
      <c r="E82" s="109">
        <f>E83</f>
        <v>706</v>
      </c>
      <c r="F82" s="109" t="s">
        <v>10</v>
      </c>
      <c r="G82" s="144">
        <f>SUM(G83)</f>
        <v>705.01</v>
      </c>
      <c r="H82" s="135">
        <f>G82/C82*100</f>
        <v>99.859773371104808</v>
      </c>
      <c r="I82" s="144">
        <f>SUM(I83)</f>
        <v>705.01</v>
      </c>
      <c r="J82" s="135">
        <f>I82/E82*100</f>
        <v>99.859773371104808</v>
      </c>
      <c r="K82" s="109"/>
      <c r="L82" s="109"/>
      <c r="M82" s="77">
        <f t="shared" ref="M82:Q82" si="12">SUM(M83:M83)</f>
        <v>0</v>
      </c>
      <c r="N82" s="77">
        <f t="shared" si="12"/>
        <v>0</v>
      </c>
      <c r="O82" s="77">
        <f t="shared" si="12"/>
        <v>0</v>
      </c>
      <c r="P82" s="77">
        <f t="shared" si="12"/>
        <v>0</v>
      </c>
      <c r="Q82" s="77">
        <f t="shared" si="12"/>
        <v>0</v>
      </c>
      <c r="T82" s="62"/>
    </row>
    <row r="83" spans="1:23" ht="14.4" customHeight="1">
      <c r="A83" s="53"/>
      <c r="B83" s="55" t="s">
        <v>70</v>
      </c>
      <c r="C83" s="103">
        <v>706</v>
      </c>
      <c r="D83" s="103"/>
      <c r="E83" s="103">
        <v>706</v>
      </c>
      <c r="F83" s="103"/>
      <c r="G83" s="138">
        <v>705.01</v>
      </c>
      <c r="H83" s="146">
        <f t="shared" si="2"/>
        <v>99.859773371104808</v>
      </c>
      <c r="I83" s="138">
        <v>705.01</v>
      </c>
      <c r="J83" s="146">
        <f t="shared" si="2"/>
        <v>99.859773371104808</v>
      </c>
      <c r="K83" s="106"/>
      <c r="L83" s="105"/>
      <c r="M83" s="50"/>
      <c r="N83" s="51"/>
      <c r="O83" s="8"/>
      <c r="P83" s="7"/>
      <c r="Q83" s="7"/>
    </row>
    <row r="84" spans="1:23" ht="14.4" customHeight="1">
      <c r="A84" s="26"/>
      <c r="B84" s="97" t="s">
        <v>71</v>
      </c>
      <c r="C84" s="109">
        <f>C85+C87+C89+C91</f>
        <v>15250</v>
      </c>
      <c r="D84" s="109" t="e">
        <f>#REF!+#REF!+#REF!+#REF!+#REF!+#REF!+#REF!+#REF!</f>
        <v>#REF!</v>
      </c>
      <c r="E84" s="109">
        <f>E85+E87+E89+E91</f>
        <v>15250</v>
      </c>
      <c r="F84" s="109"/>
      <c r="G84" s="140">
        <f>SUM(G85+G87+G89+G91)</f>
        <v>14467.04</v>
      </c>
      <c r="H84" s="135">
        <f>G84/C84*100</f>
        <v>94.865836065573774</v>
      </c>
      <c r="I84" s="140">
        <f>SUM(I85+I87+I89+I91)</f>
        <v>14467.04</v>
      </c>
      <c r="J84" s="135">
        <f>I84/E84*100</f>
        <v>94.865836065573774</v>
      </c>
      <c r="K84" s="109"/>
      <c r="L84" s="109"/>
      <c r="M84" s="77" t="e">
        <f t="shared" ref="M84:Q84" si="13">SUM(M85:M85)</f>
        <v>#REF!</v>
      </c>
      <c r="N84" s="77" t="e">
        <f t="shared" si="13"/>
        <v>#REF!</v>
      </c>
      <c r="O84" s="77" t="e">
        <f t="shared" si="13"/>
        <v>#REF!</v>
      </c>
      <c r="P84" s="77">
        <f t="shared" si="13"/>
        <v>0</v>
      </c>
      <c r="Q84" s="77">
        <f t="shared" si="13"/>
        <v>0</v>
      </c>
      <c r="T84" s="62"/>
    </row>
    <row r="85" spans="1:23" ht="13.8" customHeight="1">
      <c r="A85" s="13"/>
      <c r="B85" s="99" t="s">
        <v>83</v>
      </c>
      <c r="C85" s="100">
        <f>SUM(C86)</f>
        <v>7595</v>
      </c>
      <c r="D85" s="100" t="e">
        <f>#REF!</f>
        <v>#REF!</v>
      </c>
      <c r="E85" s="100">
        <f>SUM(E86)</f>
        <v>7595</v>
      </c>
      <c r="F85" s="100"/>
      <c r="G85" s="136">
        <f>SUM(G86)</f>
        <v>7595</v>
      </c>
      <c r="H85" s="149">
        <f t="shared" ref="H85:H91" si="14">G85/C85*100</f>
        <v>100</v>
      </c>
      <c r="I85" s="136">
        <f>SUM(I86)</f>
        <v>7595</v>
      </c>
      <c r="J85" s="149">
        <f t="shared" ref="J85:J91" si="15">I85/E85*100</f>
        <v>100</v>
      </c>
      <c r="K85" s="110"/>
      <c r="L85" s="101"/>
      <c r="M85" s="15" t="e">
        <f>#REF!</f>
        <v>#REF!</v>
      </c>
      <c r="N85" s="16" t="e">
        <f>#REF!</f>
        <v>#REF!</v>
      </c>
      <c r="O85" s="16" t="e">
        <f>#REF!</f>
        <v>#REF!</v>
      </c>
      <c r="P85" s="7"/>
      <c r="Q85" s="7"/>
    </row>
    <row r="86" spans="1:23" s="21" customFormat="1" ht="15" customHeight="1">
      <c r="A86" s="12"/>
      <c r="B86" s="102" t="s">
        <v>35</v>
      </c>
      <c r="C86" s="103">
        <v>7595</v>
      </c>
      <c r="D86" s="103"/>
      <c r="E86" s="103">
        <v>7595</v>
      </c>
      <c r="F86" s="103"/>
      <c r="G86" s="141">
        <v>7595</v>
      </c>
      <c r="H86" s="146">
        <f t="shared" si="14"/>
        <v>100</v>
      </c>
      <c r="I86" s="141">
        <v>7595</v>
      </c>
      <c r="J86" s="146">
        <f t="shared" si="15"/>
        <v>100</v>
      </c>
      <c r="K86" s="104"/>
      <c r="L86" s="105"/>
      <c r="M86" s="17"/>
      <c r="N86" s="18"/>
      <c r="O86" s="19"/>
      <c r="P86" s="12"/>
      <c r="Q86" s="12"/>
      <c r="T86" s="61"/>
      <c r="W86" s="61"/>
    </row>
    <row r="87" spans="1:23" ht="13.8" customHeight="1">
      <c r="A87" s="13"/>
      <c r="B87" s="99" t="s">
        <v>37</v>
      </c>
      <c r="C87" s="100">
        <f>SUM(C88)</f>
        <v>2655</v>
      </c>
      <c r="D87" s="100">
        <f>SUM(D94:D95)</f>
        <v>0</v>
      </c>
      <c r="E87" s="100">
        <f>SUM(E88)</f>
        <v>2655</v>
      </c>
      <c r="F87" s="103"/>
      <c r="G87" s="136">
        <f t="shared" ref="G87" si="16">SUM(G88)</f>
        <v>2655</v>
      </c>
      <c r="H87" s="149">
        <f t="shared" si="14"/>
        <v>100</v>
      </c>
      <c r="I87" s="136">
        <f t="shared" ref="I87" si="17">SUM(I88)</f>
        <v>2655</v>
      </c>
      <c r="J87" s="149">
        <f t="shared" si="15"/>
        <v>100</v>
      </c>
      <c r="K87" s="110"/>
      <c r="L87" s="101"/>
      <c r="M87" s="15"/>
      <c r="N87" s="16"/>
      <c r="O87" s="22"/>
      <c r="P87" s="7"/>
      <c r="Q87" s="7"/>
      <c r="T87" s="61"/>
      <c r="V87" s="21"/>
      <c r="W87" s="61"/>
    </row>
    <row r="88" spans="1:23" ht="13.8" customHeight="1">
      <c r="A88" s="13"/>
      <c r="B88" s="102" t="s">
        <v>122</v>
      </c>
      <c r="C88" s="103">
        <v>2655</v>
      </c>
      <c r="D88" s="103"/>
      <c r="E88" s="103">
        <v>2655</v>
      </c>
      <c r="F88" s="103"/>
      <c r="G88" s="137">
        <v>2655</v>
      </c>
      <c r="H88" s="146">
        <f t="shared" si="14"/>
        <v>100</v>
      </c>
      <c r="I88" s="137">
        <v>2655</v>
      </c>
      <c r="J88" s="146">
        <f t="shared" si="15"/>
        <v>100</v>
      </c>
      <c r="K88" s="110"/>
      <c r="L88" s="101"/>
      <c r="M88" s="15"/>
      <c r="N88" s="16"/>
      <c r="O88" s="22"/>
      <c r="P88" s="7"/>
      <c r="Q88" s="7"/>
      <c r="T88" s="61"/>
      <c r="V88" s="21"/>
      <c r="W88" s="61"/>
    </row>
    <row r="89" spans="1:23" ht="13.8" customHeight="1">
      <c r="A89" s="13"/>
      <c r="B89" s="99" t="s">
        <v>16</v>
      </c>
      <c r="C89" s="100">
        <f>SUM(C90:C90)</f>
        <v>4171</v>
      </c>
      <c r="D89" s="103"/>
      <c r="E89" s="100">
        <f>SUM(E90:E90)</f>
        <v>4171</v>
      </c>
      <c r="F89" s="103"/>
      <c r="G89" s="136">
        <f>SUM(G90)</f>
        <v>4171.2</v>
      </c>
      <c r="H89" s="149">
        <f t="shared" si="14"/>
        <v>100.00479501318628</v>
      </c>
      <c r="I89" s="136">
        <f>SUM(I90)</f>
        <v>4171.2</v>
      </c>
      <c r="J89" s="149">
        <f t="shared" si="15"/>
        <v>100.00479501318628</v>
      </c>
      <c r="K89" s="110"/>
      <c r="L89" s="101"/>
      <c r="M89" s="15"/>
      <c r="N89" s="16"/>
      <c r="O89" s="22"/>
      <c r="P89" s="7"/>
      <c r="Q89" s="7"/>
      <c r="T89" s="61"/>
      <c r="V89" s="21"/>
      <c r="W89" s="61"/>
    </row>
    <row r="90" spans="1:23" ht="13.8" customHeight="1">
      <c r="A90" s="13"/>
      <c r="B90" s="55" t="s">
        <v>158</v>
      </c>
      <c r="C90" s="103">
        <v>4171</v>
      </c>
      <c r="D90" s="103"/>
      <c r="E90" s="103">
        <v>4171</v>
      </c>
      <c r="F90" s="103"/>
      <c r="G90" s="137">
        <v>4171.2</v>
      </c>
      <c r="H90" s="146">
        <f t="shared" si="14"/>
        <v>100.00479501318628</v>
      </c>
      <c r="I90" s="137">
        <v>4171.2</v>
      </c>
      <c r="J90" s="146">
        <f t="shared" si="15"/>
        <v>100.00479501318628</v>
      </c>
      <c r="K90" s="110"/>
      <c r="L90" s="101"/>
      <c r="M90" s="15"/>
      <c r="N90" s="16"/>
      <c r="O90" s="22"/>
      <c r="P90" s="7"/>
      <c r="Q90" s="7"/>
      <c r="T90" s="61"/>
      <c r="V90" s="21"/>
      <c r="W90" s="61"/>
    </row>
    <row r="91" spans="1:23" ht="13.8" customHeight="1">
      <c r="A91" s="13"/>
      <c r="B91" s="99" t="s">
        <v>18</v>
      </c>
      <c r="C91" s="100">
        <f>SUM(C92:C93)</f>
        <v>829</v>
      </c>
      <c r="D91" s="103"/>
      <c r="E91" s="100">
        <f>SUM(E92:E93)</f>
        <v>829</v>
      </c>
      <c r="F91" s="103"/>
      <c r="G91" s="136">
        <f>SUM(G92+G93)</f>
        <v>45.84</v>
      </c>
      <c r="H91" s="149">
        <f t="shared" si="14"/>
        <v>5.5295536791314843</v>
      </c>
      <c r="I91" s="136">
        <f>SUM(I92+I93)</f>
        <v>45.84</v>
      </c>
      <c r="J91" s="149">
        <f t="shared" si="15"/>
        <v>5.5295536791314843</v>
      </c>
      <c r="K91" s="110"/>
      <c r="L91" s="101"/>
      <c r="M91" s="15"/>
      <c r="N91" s="16"/>
      <c r="O91" s="22"/>
      <c r="P91" s="7"/>
      <c r="Q91" s="7"/>
      <c r="T91" s="61"/>
      <c r="V91" s="21"/>
      <c r="W91" s="61"/>
    </row>
    <row r="92" spans="1:23" ht="13.8" customHeight="1">
      <c r="A92" s="13"/>
      <c r="B92" s="55" t="s">
        <v>151</v>
      </c>
      <c r="C92" s="103">
        <v>750</v>
      </c>
      <c r="D92" s="103"/>
      <c r="E92" s="103">
        <v>750</v>
      </c>
      <c r="F92" s="103"/>
      <c r="G92" s="137"/>
      <c r="H92" s="146"/>
      <c r="I92" s="137"/>
      <c r="J92" s="146"/>
      <c r="K92" s="110"/>
      <c r="L92" s="101"/>
      <c r="M92" s="15"/>
      <c r="N92" s="16"/>
      <c r="O92" s="22"/>
      <c r="P92" s="7"/>
      <c r="Q92" s="7"/>
      <c r="T92" s="61"/>
      <c r="V92" s="21"/>
      <c r="W92" s="61"/>
    </row>
    <row r="93" spans="1:23" ht="13.8" customHeight="1">
      <c r="A93" s="13"/>
      <c r="B93" s="56" t="s">
        <v>152</v>
      </c>
      <c r="C93" s="103">
        <v>79</v>
      </c>
      <c r="D93" s="103"/>
      <c r="E93" s="103">
        <v>79</v>
      </c>
      <c r="F93" s="103"/>
      <c r="G93" s="137">
        <v>45.84</v>
      </c>
      <c r="H93" s="146">
        <f t="shared" ref="H93" si="18">G93/C93*100</f>
        <v>58.025316455696206</v>
      </c>
      <c r="I93" s="137">
        <v>45.84</v>
      </c>
      <c r="J93" s="146">
        <f t="shared" ref="J93" si="19">I93/E93*100</f>
        <v>58.025316455696206</v>
      </c>
      <c r="K93" s="110"/>
      <c r="L93" s="101"/>
      <c r="M93" s="15"/>
      <c r="N93" s="16"/>
      <c r="O93" s="22"/>
      <c r="P93" s="7"/>
      <c r="Q93" s="7"/>
      <c r="T93" s="61"/>
      <c r="V93" s="21"/>
      <c r="W93" s="61"/>
    </row>
    <row r="94" spans="1:23">
      <c r="A94" s="26"/>
      <c r="B94" s="97" t="s">
        <v>72</v>
      </c>
      <c r="C94" s="109">
        <f>C95+C97+C99+C104+C107+C109</f>
        <v>17500</v>
      </c>
      <c r="D94" s="109">
        <f>D95+D97+D104+D107+D109</f>
        <v>0</v>
      </c>
      <c r="E94" s="109">
        <f>E95+E97+E99+E104+E107+E109</f>
        <v>17500</v>
      </c>
      <c r="F94" s="109" t="s">
        <v>10</v>
      </c>
      <c r="G94" s="140">
        <f>G95+G97+G99+G104+G107+G109</f>
        <v>17648.490000000002</v>
      </c>
      <c r="H94" s="135">
        <f>G94/C94*100</f>
        <v>100.84851428571429</v>
      </c>
      <c r="I94" s="140">
        <f>I95+I97+I99+I104+I107+I109</f>
        <v>17648.490000000002</v>
      </c>
      <c r="J94" s="135">
        <f>I94/E94*100</f>
        <v>100.84851428571429</v>
      </c>
      <c r="K94" s="109"/>
      <c r="L94" s="109"/>
      <c r="M94" s="77" t="e">
        <f>M95+M97+M104+M107+M109</f>
        <v>#REF!</v>
      </c>
      <c r="N94" s="77" t="e">
        <f>N95+N97+N104+N107+N109</f>
        <v>#REF!</v>
      </c>
      <c r="O94" s="77" t="e">
        <f>O95+O97+O104+O107+O109</f>
        <v>#REF!</v>
      </c>
      <c r="P94" s="77" t="e">
        <f>P95+P97+P104+P107+P109</f>
        <v>#REF!</v>
      </c>
      <c r="Q94" s="77" t="e">
        <f>Q95+Q97+Q104+Q107+Q109</f>
        <v>#REF!</v>
      </c>
      <c r="T94" s="62"/>
    </row>
    <row r="95" spans="1:23" s="29" customFormat="1">
      <c r="A95" s="26"/>
      <c r="B95" s="99" t="s">
        <v>25</v>
      </c>
      <c r="C95" s="100">
        <f>SUM(C96:C96)</f>
        <v>5425</v>
      </c>
      <c r="D95" s="100"/>
      <c r="E95" s="100">
        <f>SUM(E96:E96)</f>
        <v>5425</v>
      </c>
      <c r="F95" s="100"/>
      <c r="G95" s="136">
        <f>SUM(G96)</f>
        <v>5032.1899999999996</v>
      </c>
      <c r="H95" s="149">
        <f t="shared" si="2"/>
        <v>92.759262672811047</v>
      </c>
      <c r="I95" s="136">
        <f>SUM(I96)</f>
        <v>5032.1899999999996</v>
      </c>
      <c r="J95" s="149">
        <f t="shared" ref="J95:J164" si="20">I95/E95*100</f>
        <v>92.759262672811047</v>
      </c>
      <c r="K95" s="101"/>
      <c r="L95" s="101"/>
      <c r="M95" s="23" t="e">
        <f>SUM(#REF!)</f>
        <v>#REF!</v>
      </c>
      <c r="N95" s="24" t="e">
        <f>SUM(#REF!)</f>
        <v>#REF!</v>
      </c>
      <c r="O95" s="25" t="e">
        <f>SUM(#REF!)</f>
        <v>#REF!</v>
      </c>
      <c r="P95" s="27"/>
      <c r="Q95" s="27"/>
      <c r="T95" s="62"/>
      <c r="W95" s="62"/>
    </row>
    <row r="96" spans="1:23" s="29" customFormat="1">
      <c r="A96" s="26"/>
      <c r="B96" s="55" t="s">
        <v>123</v>
      </c>
      <c r="C96" s="103">
        <v>5425</v>
      </c>
      <c r="D96" s="103"/>
      <c r="E96" s="103">
        <v>5425</v>
      </c>
      <c r="F96" s="100"/>
      <c r="G96" s="137">
        <v>5032.1899999999996</v>
      </c>
      <c r="H96" s="146">
        <f t="shared" ref="H96:H113" si="21">G96/C96*100</f>
        <v>92.759262672811047</v>
      </c>
      <c r="I96" s="137">
        <v>5032.1899999999996</v>
      </c>
      <c r="J96" s="146">
        <f t="shared" si="20"/>
        <v>92.759262672811047</v>
      </c>
      <c r="K96" s="101"/>
      <c r="L96" s="101"/>
      <c r="M96" s="23"/>
      <c r="N96" s="24"/>
      <c r="O96" s="25"/>
      <c r="P96" s="27"/>
      <c r="Q96" s="27"/>
      <c r="T96" s="62"/>
      <c r="W96" s="62"/>
    </row>
    <row r="97" spans="1:23" s="29" customFormat="1">
      <c r="A97" s="26"/>
      <c r="B97" s="99" t="s">
        <v>26</v>
      </c>
      <c r="C97" s="100">
        <f>SUM(C98:C98)</f>
        <v>1896</v>
      </c>
      <c r="D97" s="100"/>
      <c r="E97" s="100">
        <f>SUM(E98:E98)</f>
        <v>1896</v>
      </c>
      <c r="F97" s="100"/>
      <c r="G97" s="136">
        <f>SUM(G98)</f>
        <v>2097.92</v>
      </c>
      <c r="H97" s="149">
        <f t="shared" si="21"/>
        <v>110.64978902953587</v>
      </c>
      <c r="I97" s="136">
        <f>SUM(I98)</f>
        <v>2097.92</v>
      </c>
      <c r="J97" s="149">
        <f t="shared" si="20"/>
        <v>110.64978902953587</v>
      </c>
      <c r="K97" s="101"/>
      <c r="L97" s="101"/>
      <c r="M97" s="23" t="e">
        <f>SUM(#REF!)</f>
        <v>#REF!</v>
      </c>
      <c r="N97" s="24" t="e">
        <f>SUM(#REF!)</f>
        <v>#REF!</v>
      </c>
      <c r="O97" s="25" t="e">
        <f>SUM(#REF!)</f>
        <v>#REF!</v>
      </c>
      <c r="P97" s="27"/>
      <c r="Q97" s="27"/>
      <c r="T97" s="62"/>
      <c r="W97" s="62"/>
    </row>
    <row r="98" spans="1:23">
      <c r="A98" s="26"/>
      <c r="B98" s="102" t="s">
        <v>122</v>
      </c>
      <c r="C98" s="103">
        <v>1896</v>
      </c>
      <c r="D98" s="100"/>
      <c r="E98" s="103">
        <v>1896</v>
      </c>
      <c r="F98" s="103"/>
      <c r="G98" s="137">
        <v>2097.92</v>
      </c>
      <c r="H98" s="146">
        <f t="shared" si="21"/>
        <v>110.64978902953587</v>
      </c>
      <c r="I98" s="137">
        <v>2097.92</v>
      </c>
      <c r="J98" s="146">
        <f t="shared" si="20"/>
        <v>110.64978902953587</v>
      </c>
      <c r="K98" s="101"/>
      <c r="L98" s="105"/>
      <c r="M98" s="23"/>
      <c r="N98" s="24"/>
      <c r="O98" s="25"/>
      <c r="P98" s="7"/>
      <c r="Q98" s="7"/>
      <c r="T98" s="62"/>
      <c r="V98" s="29"/>
      <c r="W98" s="62"/>
    </row>
    <row r="99" spans="1:23" s="29" customFormat="1">
      <c r="A99" s="26"/>
      <c r="B99" s="99" t="s">
        <v>16</v>
      </c>
      <c r="C99" s="100">
        <f>SUM(C100:C103)</f>
        <v>7150</v>
      </c>
      <c r="D99" s="100">
        <f>SUM(D100:D105)</f>
        <v>0</v>
      </c>
      <c r="E99" s="100">
        <f>SUM(E100:E103)</f>
        <v>7150</v>
      </c>
      <c r="F99" s="100"/>
      <c r="G99" s="136">
        <f>SUM(G100:G103)</f>
        <v>7396.8700000000008</v>
      </c>
      <c r="H99" s="149">
        <f t="shared" si="21"/>
        <v>103.45272727272727</v>
      </c>
      <c r="I99" s="136">
        <f>SUM(I100:I103)</f>
        <v>7396.8700000000008</v>
      </c>
      <c r="J99" s="149">
        <f t="shared" si="20"/>
        <v>103.45272727272727</v>
      </c>
      <c r="K99" s="101"/>
      <c r="L99" s="101"/>
      <c r="M99" s="23" t="e">
        <f>M100+#REF!+M105+#REF!</f>
        <v>#REF!</v>
      </c>
      <c r="N99" s="24" t="e">
        <f>N100+#REF!+N105+#REF!</f>
        <v>#REF!</v>
      </c>
      <c r="O99" s="25" t="e">
        <f>O100+#REF!+O105+#REF!</f>
        <v>#REF!</v>
      </c>
      <c r="P99" s="27"/>
      <c r="Q99" s="27"/>
      <c r="T99" s="61"/>
      <c r="V99" s="21"/>
      <c r="W99" s="61"/>
    </row>
    <row r="100" spans="1:23">
      <c r="A100" s="26"/>
      <c r="B100" s="55" t="s">
        <v>39</v>
      </c>
      <c r="C100" s="103">
        <v>3000</v>
      </c>
      <c r="D100" s="103"/>
      <c r="E100" s="103">
        <v>3000</v>
      </c>
      <c r="F100" s="103"/>
      <c r="G100" s="137">
        <v>3000.02</v>
      </c>
      <c r="H100" s="146">
        <f t="shared" si="21"/>
        <v>100.00066666666667</v>
      </c>
      <c r="I100" s="137">
        <v>3000.02</v>
      </c>
      <c r="J100" s="146">
        <f t="shared" si="20"/>
        <v>100.00066666666667</v>
      </c>
      <c r="K100" s="105"/>
      <c r="L100" s="105"/>
      <c r="M100" s="30"/>
      <c r="N100" s="31"/>
      <c r="O100" s="8"/>
      <c r="P100" s="7"/>
      <c r="Q100" s="7"/>
      <c r="T100" s="61"/>
      <c r="V100" s="21"/>
      <c r="W100" s="61"/>
    </row>
    <row r="101" spans="1:23">
      <c r="A101" s="26"/>
      <c r="B101" s="56" t="s">
        <v>38</v>
      </c>
      <c r="C101" s="103">
        <v>500</v>
      </c>
      <c r="D101" s="103"/>
      <c r="E101" s="103">
        <v>500</v>
      </c>
      <c r="F101" s="103"/>
      <c r="G101" s="137">
        <v>500</v>
      </c>
      <c r="H101" s="146">
        <f t="shared" si="21"/>
        <v>100</v>
      </c>
      <c r="I101" s="137">
        <v>500</v>
      </c>
      <c r="J101" s="146">
        <f t="shared" si="20"/>
        <v>100</v>
      </c>
      <c r="K101" s="105"/>
      <c r="L101" s="105"/>
      <c r="M101" s="9"/>
      <c r="N101" s="10"/>
      <c r="O101" s="8"/>
      <c r="P101" s="7"/>
      <c r="Q101" s="7"/>
      <c r="T101" s="62"/>
      <c r="V101" s="29"/>
      <c r="W101" s="62"/>
    </row>
    <row r="102" spans="1:23">
      <c r="A102" s="26"/>
      <c r="B102" s="56" t="s">
        <v>40</v>
      </c>
      <c r="C102" s="103">
        <v>1650</v>
      </c>
      <c r="D102" s="103"/>
      <c r="E102" s="103">
        <v>1650</v>
      </c>
      <c r="F102" s="103"/>
      <c r="G102" s="137">
        <v>1650</v>
      </c>
      <c r="H102" s="146">
        <f t="shared" si="21"/>
        <v>100</v>
      </c>
      <c r="I102" s="137">
        <v>1650</v>
      </c>
      <c r="J102" s="146">
        <f t="shared" si="20"/>
        <v>100</v>
      </c>
      <c r="K102" s="105"/>
      <c r="L102" s="105"/>
      <c r="M102" s="9"/>
      <c r="N102" s="10"/>
      <c r="O102" s="8"/>
      <c r="P102" s="7"/>
      <c r="Q102" s="7"/>
      <c r="T102" s="62"/>
      <c r="V102" s="29"/>
      <c r="W102" s="62"/>
    </row>
    <row r="103" spans="1:23">
      <c r="A103" s="26"/>
      <c r="B103" s="56" t="s">
        <v>73</v>
      </c>
      <c r="C103" s="103">
        <v>2000</v>
      </c>
      <c r="D103" s="103"/>
      <c r="E103" s="103">
        <v>2000</v>
      </c>
      <c r="F103" s="103"/>
      <c r="G103" s="137">
        <v>2246.85</v>
      </c>
      <c r="H103" s="146">
        <f t="shared" si="21"/>
        <v>112.34249999999999</v>
      </c>
      <c r="I103" s="137">
        <v>2246.85</v>
      </c>
      <c r="J103" s="146">
        <f t="shared" si="20"/>
        <v>112.34249999999999</v>
      </c>
      <c r="K103" s="105"/>
      <c r="L103" s="105"/>
      <c r="M103" s="9"/>
      <c r="N103" s="10"/>
      <c r="O103" s="8"/>
      <c r="P103" s="7"/>
      <c r="Q103" s="7"/>
      <c r="T103" s="62"/>
      <c r="V103" s="29"/>
      <c r="W103" s="62"/>
    </row>
    <row r="104" spans="1:23" s="29" customFormat="1">
      <c r="A104" s="26"/>
      <c r="B104" s="99" t="s">
        <v>18</v>
      </c>
      <c r="C104" s="100">
        <f>SUM(C105:C106)</f>
        <v>525</v>
      </c>
      <c r="D104" s="100"/>
      <c r="E104" s="100">
        <f>SUM(E105:E106)</f>
        <v>525</v>
      </c>
      <c r="F104" s="100"/>
      <c r="G104" s="136">
        <f>SUM(G105:G106)</f>
        <v>572.33000000000004</v>
      </c>
      <c r="H104" s="149">
        <f t="shared" si="21"/>
        <v>109.0152380952381</v>
      </c>
      <c r="I104" s="136">
        <f>SUM(I105:I106)</f>
        <v>572.33000000000004</v>
      </c>
      <c r="J104" s="149">
        <f t="shared" si="20"/>
        <v>109.0152380952381</v>
      </c>
      <c r="K104" s="101"/>
      <c r="L104" s="101"/>
      <c r="M104" s="14" t="e">
        <f t="shared" ref="M104:Q104" si="22">SUM(M105:M106)</f>
        <v>#REF!</v>
      </c>
      <c r="N104" s="14" t="e">
        <f t="shared" si="22"/>
        <v>#REF!</v>
      </c>
      <c r="O104" s="14" t="e">
        <f t="shared" si="22"/>
        <v>#REF!</v>
      </c>
      <c r="P104" s="14">
        <f t="shared" si="22"/>
        <v>0</v>
      </c>
      <c r="Q104" s="14">
        <f t="shared" si="22"/>
        <v>0</v>
      </c>
      <c r="T104" s="62"/>
      <c r="W104" s="62"/>
    </row>
    <row r="105" spans="1:23">
      <c r="A105" s="26"/>
      <c r="B105" s="55" t="s">
        <v>19</v>
      </c>
      <c r="C105" s="103">
        <v>500</v>
      </c>
      <c r="D105" s="103"/>
      <c r="E105" s="103">
        <v>500</v>
      </c>
      <c r="F105" s="103" t="s">
        <v>10</v>
      </c>
      <c r="G105" s="138">
        <v>547.33000000000004</v>
      </c>
      <c r="H105" s="146">
        <f t="shared" si="21"/>
        <v>109.46600000000002</v>
      </c>
      <c r="I105" s="138">
        <v>547.33000000000004</v>
      </c>
      <c r="J105" s="146">
        <f t="shared" si="20"/>
        <v>109.46600000000002</v>
      </c>
      <c r="K105" s="106"/>
      <c r="L105" s="105"/>
      <c r="M105" s="9" t="e">
        <f>SUM(#REF!)</f>
        <v>#REF!</v>
      </c>
      <c r="N105" s="10" t="e">
        <f>SUM(#REF!)</f>
        <v>#REF!</v>
      </c>
      <c r="O105" s="34" t="e">
        <f>SUM(#REF!)</f>
        <v>#REF!</v>
      </c>
      <c r="P105" s="7"/>
      <c r="Q105" s="7"/>
      <c r="T105" s="62"/>
      <c r="V105" s="29"/>
      <c r="W105" s="62"/>
    </row>
    <row r="106" spans="1:23">
      <c r="A106" s="26"/>
      <c r="B106" s="56" t="s">
        <v>159</v>
      </c>
      <c r="C106" s="103">
        <v>25</v>
      </c>
      <c r="D106" s="103"/>
      <c r="E106" s="103">
        <v>25</v>
      </c>
      <c r="F106" s="103"/>
      <c r="G106" s="138">
        <v>25</v>
      </c>
      <c r="H106" s="146">
        <f t="shared" si="21"/>
        <v>100</v>
      </c>
      <c r="I106" s="138">
        <v>25</v>
      </c>
      <c r="J106" s="146">
        <f t="shared" si="20"/>
        <v>100</v>
      </c>
      <c r="K106" s="106"/>
      <c r="L106" s="105"/>
      <c r="M106" s="9"/>
      <c r="N106" s="10"/>
      <c r="O106" s="11"/>
      <c r="P106" s="7"/>
      <c r="Q106" s="7"/>
      <c r="T106" s="62"/>
      <c r="V106" s="29"/>
      <c r="W106" s="62"/>
    </row>
    <row r="107" spans="1:23" s="29" customFormat="1">
      <c r="A107" s="26"/>
      <c r="B107" s="99" t="s">
        <v>74</v>
      </c>
      <c r="C107" s="100">
        <f>SUM(C108)</f>
        <v>750</v>
      </c>
      <c r="D107" s="100"/>
      <c r="E107" s="100">
        <f>SUM(E108)</f>
        <v>750</v>
      </c>
      <c r="F107" s="100"/>
      <c r="G107" s="136">
        <f>SUM(G108)</f>
        <v>676.2</v>
      </c>
      <c r="H107" s="149">
        <f t="shared" si="21"/>
        <v>90.160000000000011</v>
      </c>
      <c r="I107" s="136">
        <f>SUM(I108)</f>
        <v>676.2</v>
      </c>
      <c r="J107" s="149">
        <f t="shared" si="20"/>
        <v>90.160000000000011</v>
      </c>
      <c r="K107" s="107"/>
      <c r="L107" s="101"/>
      <c r="M107" s="35">
        <f t="shared" ref="M107:O107" si="23">SUM(M108:M108)</f>
        <v>0</v>
      </c>
      <c r="N107" s="36">
        <f t="shared" si="23"/>
        <v>0</v>
      </c>
      <c r="O107" s="37">
        <f t="shared" si="23"/>
        <v>0</v>
      </c>
      <c r="P107" s="27"/>
      <c r="Q107" s="27"/>
      <c r="T107" s="62"/>
      <c r="W107" s="62"/>
    </row>
    <row r="108" spans="1:23">
      <c r="A108" s="13"/>
      <c r="B108" s="55" t="s">
        <v>75</v>
      </c>
      <c r="C108" s="103">
        <v>750</v>
      </c>
      <c r="D108" s="103"/>
      <c r="E108" s="103">
        <v>750</v>
      </c>
      <c r="F108" s="100"/>
      <c r="G108" s="138">
        <v>676.2</v>
      </c>
      <c r="H108" s="146">
        <f t="shared" si="21"/>
        <v>90.160000000000011</v>
      </c>
      <c r="I108" s="138">
        <v>676.2</v>
      </c>
      <c r="J108" s="146">
        <f t="shared" si="20"/>
        <v>90.160000000000011</v>
      </c>
      <c r="K108" s="106"/>
      <c r="L108" s="105"/>
      <c r="M108" s="38"/>
      <c r="N108" s="39"/>
      <c r="O108" s="40"/>
      <c r="P108" s="7"/>
      <c r="Q108" s="7"/>
      <c r="T108" s="62"/>
      <c r="V108" s="29"/>
      <c r="W108" s="62"/>
    </row>
    <row r="109" spans="1:23" s="29" customFormat="1">
      <c r="A109" s="26"/>
      <c r="B109" s="99" t="s">
        <v>22</v>
      </c>
      <c r="C109" s="100">
        <f>SUM(C110:C113)</f>
        <v>1754</v>
      </c>
      <c r="D109" s="100"/>
      <c r="E109" s="100">
        <f>SUM(E110:E113)</f>
        <v>1754</v>
      </c>
      <c r="F109" s="100" t="s">
        <v>10</v>
      </c>
      <c r="G109" s="136">
        <f>SUM(G110:G113)</f>
        <v>1872.98</v>
      </c>
      <c r="H109" s="149">
        <f t="shared" si="21"/>
        <v>106.78335233751426</v>
      </c>
      <c r="I109" s="136">
        <f>SUM(I110:I113)</f>
        <v>1872.98</v>
      </c>
      <c r="J109" s="149">
        <f t="shared" si="20"/>
        <v>106.78335233751426</v>
      </c>
      <c r="K109" s="107"/>
      <c r="L109" s="101"/>
      <c r="M109" s="14" t="e">
        <f>#REF!+#REF!+#REF!+#REF!+#REF!+M110+#REF!+#REF!+#REF!+#REF!+#REF!+M111+M113+#REF!+#REF!+#REF!+#REF!+#REF!+#REF!+#REF!+#REF!</f>
        <v>#REF!</v>
      </c>
      <c r="N109" s="14" t="e">
        <f>#REF!+#REF!+#REF!+#REF!+#REF!+N110+#REF!+#REF!+#REF!+#REF!+#REF!+N111+N113+#REF!+#REF!+#REF!+#REF!+#REF!+#REF!+#REF!+#REF!</f>
        <v>#REF!</v>
      </c>
      <c r="O109" s="14" t="e">
        <f>#REF!+#REF!+#REF!+#REF!+#REF!+O110+#REF!+#REF!+#REF!+#REF!+#REF!+O111+O113+#REF!+#REF!+#REF!+#REF!+#REF!+#REF!+#REF!+#REF!</f>
        <v>#REF!</v>
      </c>
      <c r="P109" s="14" t="e">
        <f>#REF!+#REF!+#REF!+#REF!+#REF!+P110+#REF!+#REF!+#REF!+#REF!+#REF!+P111+P113+#REF!+#REF!+#REF!+#REF!+#REF!+#REF!+#REF!+#REF!</f>
        <v>#REF!</v>
      </c>
      <c r="Q109" s="14" t="e">
        <f>#REF!+#REF!+#REF!+#REF!+#REF!+Q110+#REF!+#REF!+#REF!+#REF!+#REF!+Q111+Q113+#REF!+#REF!+#REF!+#REF!+#REF!+#REF!+#REF!+#REF!</f>
        <v>#REF!</v>
      </c>
      <c r="T109" s="62"/>
      <c r="W109" s="62"/>
    </row>
    <row r="110" spans="1:23">
      <c r="A110" s="45"/>
      <c r="B110" s="55" t="s">
        <v>76</v>
      </c>
      <c r="C110" s="103">
        <v>304</v>
      </c>
      <c r="D110" s="103"/>
      <c r="E110" s="103">
        <v>304</v>
      </c>
      <c r="F110" s="103" t="s">
        <v>10</v>
      </c>
      <c r="G110" s="138">
        <v>356.27</v>
      </c>
      <c r="H110" s="146">
        <f t="shared" si="21"/>
        <v>117.19407894736842</v>
      </c>
      <c r="I110" s="138">
        <v>356.27</v>
      </c>
      <c r="J110" s="146">
        <f t="shared" si="20"/>
        <v>117.19407894736842</v>
      </c>
      <c r="K110" s="108"/>
      <c r="L110" s="105"/>
      <c r="M110" s="46" t="e">
        <f>#REF!+#REF!+#REF!</f>
        <v>#REF!</v>
      </c>
      <c r="N110" s="47" t="e">
        <f>#REF!+#REF!+#REF!</f>
        <v>#REF!</v>
      </c>
      <c r="O110" s="48" t="e">
        <f>#REF!+#REF!+#REF!</f>
        <v>#REF!</v>
      </c>
      <c r="P110" s="7"/>
      <c r="Q110" s="7"/>
      <c r="T110" s="62"/>
      <c r="V110" s="29"/>
      <c r="W110" s="62"/>
    </row>
    <row r="111" spans="1:23">
      <c r="A111" s="13"/>
      <c r="B111" s="55" t="s">
        <v>59</v>
      </c>
      <c r="C111" s="103">
        <v>50</v>
      </c>
      <c r="D111" s="103"/>
      <c r="E111" s="103">
        <v>50</v>
      </c>
      <c r="F111" s="103"/>
      <c r="G111" s="138">
        <v>50</v>
      </c>
      <c r="H111" s="146">
        <f t="shared" si="21"/>
        <v>100</v>
      </c>
      <c r="I111" s="138">
        <v>50</v>
      </c>
      <c r="J111" s="146">
        <f t="shared" si="20"/>
        <v>100</v>
      </c>
      <c r="K111" s="108"/>
      <c r="L111" s="105"/>
      <c r="M111" s="9"/>
      <c r="N111" s="10"/>
      <c r="O111" s="8"/>
      <c r="P111" s="7"/>
      <c r="Q111" s="7"/>
      <c r="T111" s="62"/>
      <c r="V111" s="29"/>
      <c r="W111" s="62"/>
    </row>
    <row r="112" spans="1:23">
      <c r="A112" s="58"/>
      <c r="B112" s="55" t="s">
        <v>164</v>
      </c>
      <c r="C112" s="103"/>
      <c r="D112" s="103"/>
      <c r="E112" s="103"/>
      <c r="F112" s="103"/>
      <c r="G112" s="138">
        <v>57.6</v>
      </c>
      <c r="H112" s="146"/>
      <c r="I112" s="138">
        <v>57.6</v>
      </c>
      <c r="J112" s="146"/>
      <c r="K112" s="108"/>
      <c r="L112" s="105"/>
      <c r="M112" s="9"/>
      <c r="N112" s="10"/>
      <c r="O112" s="8"/>
      <c r="P112" s="7"/>
      <c r="Q112" s="7"/>
      <c r="T112" s="62"/>
      <c r="V112" s="29"/>
      <c r="W112" s="62"/>
    </row>
    <row r="113" spans="1:23">
      <c r="A113" s="49"/>
      <c r="B113" s="55" t="s">
        <v>30</v>
      </c>
      <c r="C113" s="103">
        <v>1400</v>
      </c>
      <c r="D113" s="103"/>
      <c r="E113" s="103">
        <v>1400</v>
      </c>
      <c r="F113" s="103"/>
      <c r="G113" s="138">
        <v>1409.11</v>
      </c>
      <c r="H113" s="146">
        <f t="shared" si="21"/>
        <v>100.65071428571429</v>
      </c>
      <c r="I113" s="138">
        <v>1409.11</v>
      </c>
      <c r="J113" s="146">
        <f t="shared" si="20"/>
        <v>100.65071428571429</v>
      </c>
      <c r="K113" s="106"/>
      <c r="L113" s="105"/>
      <c r="M113" s="9"/>
      <c r="N113" s="10"/>
      <c r="O113" s="8"/>
      <c r="P113" s="7"/>
      <c r="Q113" s="7"/>
      <c r="T113" s="62"/>
      <c r="V113" s="29"/>
      <c r="W113" s="62"/>
    </row>
    <row r="114" spans="1:23">
      <c r="A114" s="13"/>
      <c r="B114" s="97" t="s">
        <v>77</v>
      </c>
      <c r="C114" s="98">
        <f>C115+C117+C119+C121+C128+C143+C148+C150+C161+C165</f>
        <v>486047</v>
      </c>
      <c r="D114" s="98"/>
      <c r="E114" s="98">
        <f>E115+E117+E119+E121+E128+E143+E148+E150+E161+E165</f>
        <v>469702</v>
      </c>
      <c r="F114" s="98">
        <f>F165</f>
        <v>16345</v>
      </c>
      <c r="G114" s="135">
        <f>G115+G117+G119+G121+G128+G143+G148+G150+G161+G165</f>
        <v>468266.4200000001</v>
      </c>
      <c r="H114" s="135">
        <f>G114/C114*100</f>
        <v>96.341798221159706</v>
      </c>
      <c r="I114" s="135">
        <f>I115+I117+I119+I121+I128+I143+I148+I150+I161+I165</f>
        <v>452109.34000000008</v>
      </c>
      <c r="J114" s="135">
        <f>I114/E114*100</f>
        <v>96.254506048515893</v>
      </c>
      <c r="K114" s="135">
        <f>K165</f>
        <v>16157.08</v>
      </c>
      <c r="L114" s="135">
        <f>K114/F114*100</f>
        <v>98.85029060874885</v>
      </c>
      <c r="M114" s="78"/>
      <c r="N114" s="78"/>
      <c r="O114" s="78"/>
      <c r="P114" s="78"/>
      <c r="Q114" s="78"/>
    </row>
    <row r="115" spans="1:23">
      <c r="A115" s="13"/>
      <c r="B115" s="99" t="s">
        <v>11</v>
      </c>
      <c r="C115" s="100">
        <f>SUM(C116:C116)</f>
        <v>263146</v>
      </c>
      <c r="D115" s="100" t="e">
        <f>#REF!</f>
        <v>#REF!</v>
      </c>
      <c r="E115" s="100">
        <f>SUM(E116:E116)</f>
        <v>263146</v>
      </c>
      <c r="F115" s="100"/>
      <c r="G115" s="136">
        <f>SUM(G116)</f>
        <v>263145.01</v>
      </c>
      <c r="H115" s="149">
        <f t="shared" ref="H115:J164" si="24">G115/C115*100</f>
        <v>99.999623782995002</v>
      </c>
      <c r="I115" s="136">
        <f>SUM(I116)</f>
        <v>263145.01</v>
      </c>
      <c r="J115" s="149">
        <f t="shared" si="20"/>
        <v>99.999623782995002</v>
      </c>
      <c r="K115" s="101"/>
      <c r="L115" s="101"/>
      <c r="M115" s="15" t="e">
        <f>#REF!</f>
        <v>#REF!</v>
      </c>
      <c r="N115" s="16" t="e">
        <f>#REF!</f>
        <v>#REF!</v>
      </c>
      <c r="O115" s="16" t="e">
        <f>#REF!</f>
        <v>#REF!</v>
      </c>
      <c r="P115" s="7"/>
      <c r="Q115" s="7"/>
    </row>
    <row r="116" spans="1:23" s="21" customFormat="1">
      <c r="A116" s="12"/>
      <c r="B116" s="55" t="s">
        <v>123</v>
      </c>
      <c r="C116" s="103">
        <v>263146</v>
      </c>
      <c r="D116" s="103"/>
      <c r="E116" s="103">
        <v>263146</v>
      </c>
      <c r="F116" s="103"/>
      <c r="G116" s="141">
        <v>263145.01</v>
      </c>
      <c r="H116" s="146">
        <f t="shared" si="24"/>
        <v>99.999623782995002</v>
      </c>
      <c r="I116" s="141">
        <v>263145.01</v>
      </c>
      <c r="J116" s="146">
        <f t="shared" si="20"/>
        <v>99.999623782995002</v>
      </c>
      <c r="K116" s="104"/>
      <c r="L116" s="105"/>
      <c r="M116" s="17"/>
      <c r="N116" s="18"/>
      <c r="O116" s="19"/>
      <c r="P116" s="12"/>
      <c r="Q116" s="12"/>
      <c r="T116" s="61"/>
      <c r="W116" s="61"/>
    </row>
    <row r="117" spans="1:23">
      <c r="A117" s="13"/>
      <c r="B117" s="99" t="s">
        <v>37</v>
      </c>
      <c r="C117" s="100">
        <f>SUM(C118:C118)</f>
        <v>91970</v>
      </c>
      <c r="D117" s="100">
        <f>SUM(D118:D118)</f>
        <v>0</v>
      </c>
      <c r="E117" s="100">
        <f>SUM(E118:E118)</f>
        <v>91970</v>
      </c>
      <c r="F117" s="103"/>
      <c r="G117" s="136">
        <f>SUM(G118)</f>
        <v>92687.96</v>
      </c>
      <c r="H117" s="149">
        <f t="shared" si="24"/>
        <v>100.78064586278134</v>
      </c>
      <c r="I117" s="136">
        <f>SUM(I118)</f>
        <v>92687.96</v>
      </c>
      <c r="J117" s="149">
        <f t="shared" si="20"/>
        <v>100.78064586278134</v>
      </c>
      <c r="K117" s="101"/>
      <c r="L117" s="101"/>
      <c r="M117" s="15"/>
      <c r="N117" s="16"/>
      <c r="O117" s="22"/>
      <c r="P117" s="7"/>
      <c r="Q117" s="7"/>
      <c r="T117" s="61"/>
      <c r="V117" s="21"/>
      <c r="W117" s="61"/>
    </row>
    <row r="118" spans="1:23" s="21" customFormat="1">
      <c r="A118" s="12"/>
      <c r="B118" s="102" t="s">
        <v>122</v>
      </c>
      <c r="C118" s="103">
        <v>91970</v>
      </c>
      <c r="D118" s="103"/>
      <c r="E118" s="103">
        <v>91970</v>
      </c>
      <c r="F118" s="103"/>
      <c r="G118" s="141">
        <v>92687.96</v>
      </c>
      <c r="H118" s="146">
        <f t="shared" si="24"/>
        <v>100.78064586278134</v>
      </c>
      <c r="I118" s="141">
        <v>92687.96</v>
      </c>
      <c r="J118" s="146">
        <f t="shared" si="20"/>
        <v>100.78064586278134</v>
      </c>
      <c r="K118" s="104"/>
      <c r="L118" s="105"/>
      <c r="M118" s="17"/>
      <c r="N118" s="18"/>
      <c r="O118" s="19"/>
      <c r="P118" s="12"/>
      <c r="Q118" s="12"/>
      <c r="T118" s="61"/>
      <c r="W118" s="61"/>
    </row>
    <row r="119" spans="1:23">
      <c r="A119" s="13"/>
      <c r="B119" s="99" t="s">
        <v>14</v>
      </c>
      <c r="C119" s="100">
        <f>SUM(C120)</f>
        <v>750</v>
      </c>
      <c r="D119" s="100">
        <f>SUM(D120:D120)</f>
        <v>0</v>
      </c>
      <c r="E119" s="100">
        <f>SUM(E120)</f>
        <v>750</v>
      </c>
      <c r="F119" s="103"/>
      <c r="G119" s="136">
        <f>SUM(G120)</f>
        <v>689.74</v>
      </c>
      <c r="H119" s="149">
        <f t="shared" si="24"/>
        <v>91.965333333333334</v>
      </c>
      <c r="I119" s="136">
        <f>SUM(I120)</f>
        <v>689.74</v>
      </c>
      <c r="J119" s="149">
        <f t="shared" si="20"/>
        <v>91.965333333333334</v>
      </c>
      <c r="K119" s="101"/>
      <c r="L119" s="101"/>
      <c r="M119" s="23">
        <f>SUM(M120:M120)</f>
        <v>0</v>
      </c>
      <c r="N119" s="24">
        <f>SUM(N120:N120)</f>
        <v>0</v>
      </c>
      <c r="O119" s="25">
        <f>SUM(O120:O120)</f>
        <v>0</v>
      </c>
      <c r="P119" s="7"/>
      <c r="Q119" s="7"/>
      <c r="T119" s="61"/>
      <c r="V119" s="21"/>
      <c r="W119" s="61"/>
    </row>
    <row r="120" spans="1:23">
      <c r="A120" s="13"/>
      <c r="B120" s="55" t="s">
        <v>15</v>
      </c>
      <c r="C120" s="103">
        <v>750</v>
      </c>
      <c r="D120" s="103"/>
      <c r="E120" s="103">
        <v>750</v>
      </c>
      <c r="F120" s="100"/>
      <c r="G120" s="138">
        <v>689.74</v>
      </c>
      <c r="H120" s="146">
        <f t="shared" si="24"/>
        <v>91.965333333333334</v>
      </c>
      <c r="I120" s="138">
        <v>689.74</v>
      </c>
      <c r="J120" s="146">
        <f t="shared" si="20"/>
        <v>91.965333333333334</v>
      </c>
      <c r="K120" s="106"/>
      <c r="L120" s="105"/>
      <c r="M120" s="9"/>
      <c r="N120" s="10"/>
      <c r="O120" s="8"/>
      <c r="P120" s="7"/>
      <c r="Q120" s="7"/>
      <c r="T120" s="61"/>
      <c r="V120" s="21"/>
      <c r="W120" s="61"/>
    </row>
    <row r="121" spans="1:23" s="29" customFormat="1">
      <c r="A121" s="26"/>
      <c r="B121" s="99" t="s">
        <v>16</v>
      </c>
      <c r="C121" s="100">
        <f>SUM(C122:C127)</f>
        <v>34780</v>
      </c>
      <c r="D121" s="100" t="e">
        <f>SUM(D122:D127)</f>
        <v>#REF!</v>
      </c>
      <c r="E121" s="100">
        <f>SUM(E122:E127)</f>
        <v>34780</v>
      </c>
      <c r="F121" s="100"/>
      <c r="G121" s="136">
        <f>SUM(G122:G127)</f>
        <v>32292.060000000005</v>
      </c>
      <c r="H121" s="149">
        <f t="shared" si="24"/>
        <v>92.846635997699849</v>
      </c>
      <c r="I121" s="136">
        <f>SUM(I122:I127)</f>
        <v>32292.060000000005</v>
      </c>
      <c r="J121" s="149">
        <f t="shared" si="20"/>
        <v>92.846635997699849</v>
      </c>
      <c r="K121" s="101"/>
      <c r="L121" s="101"/>
      <c r="M121" s="23" t="e">
        <f>M122+M125+M127+#REF!</f>
        <v>#REF!</v>
      </c>
      <c r="N121" s="24" t="e">
        <f>N122+N125+N127+#REF!</f>
        <v>#REF!</v>
      </c>
      <c r="O121" s="25" t="e">
        <f>O122+O125+O127+#REF!</f>
        <v>#REF!</v>
      </c>
      <c r="P121" s="27"/>
      <c r="Q121" s="27"/>
      <c r="T121" s="61"/>
      <c r="V121" s="21"/>
      <c r="W121" s="61"/>
    </row>
    <row r="122" spans="1:23">
      <c r="A122" s="26"/>
      <c r="B122" s="55" t="s">
        <v>39</v>
      </c>
      <c r="C122" s="103">
        <v>10000</v>
      </c>
      <c r="D122" s="103"/>
      <c r="E122" s="103">
        <v>10000</v>
      </c>
      <c r="F122" s="103"/>
      <c r="G122" s="137">
        <v>9853.7800000000007</v>
      </c>
      <c r="H122" s="146">
        <f t="shared" si="24"/>
        <v>98.537800000000004</v>
      </c>
      <c r="I122" s="137">
        <v>9853.7800000000007</v>
      </c>
      <c r="J122" s="146">
        <f t="shared" si="20"/>
        <v>98.537800000000004</v>
      </c>
      <c r="K122" s="105"/>
      <c r="L122" s="105"/>
      <c r="M122" s="30"/>
      <c r="N122" s="31"/>
      <c r="O122" s="8"/>
      <c r="P122" s="7"/>
      <c r="Q122" s="7"/>
      <c r="T122" s="61"/>
      <c r="V122" s="21"/>
      <c r="W122" s="61"/>
    </row>
    <row r="123" spans="1:23">
      <c r="A123" s="26"/>
      <c r="B123" s="55" t="s">
        <v>38</v>
      </c>
      <c r="C123" s="103">
        <v>6050</v>
      </c>
      <c r="D123" s="103"/>
      <c r="E123" s="103">
        <v>6050</v>
      </c>
      <c r="F123" s="103"/>
      <c r="G123" s="137">
        <v>6050</v>
      </c>
      <c r="H123" s="146">
        <f t="shared" si="24"/>
        <v>100</v>
      </c>
      <c r="I123" s="137">
        <v>6050</v>
      </c>
      <c r="J123" s="146">
        <f t="shared" si="20"/>
        <v>100</v>
      </c>
      <c r="K123" s="105"/>
      <c r="L123" s="105"/>
      <c r="M123" s="30"/>
      <c r="N123" s="31"/>
      <c r="O123" s="8"/>
      <c r="P123" s="7"/>
      <c r="Q123" s="7"/>
      <c r="T123" s="61"/>
      <c r="V123" s="21"/>
      <c r="W123" s="61"/>
    </row>
    <row r="124" spans="1:23">
      <c r="A124" s="26"/>
      <c r="B124" s="55" t="s">
        <v>40</v>
      </c>
      <c r="C124" s="103">
        <v>12200</v>
      </c>
      <c r="D124" s="103"/>
      <c r="E124" s="103">
        <v>12200</v>
      </c>
      <c r="F124" s="103"/>
      <c r="G124" s="137">
        <v>12056.09</v>
      </c>
      <c r="H124" s="146">
        <f t="shared" si="24"/>
        <v>98.820409836065565</v>
      </c>
      <c r="I124" s="137">
        <v>12056.09</v>
      </c>
      <c r="J124" s="146">
        <f t="shared" si="20"/>
        <v>98.820409836065565</v>
      </c>
      <c r="K124" s="105"/>
      <c r="L124" s="105"/>
      <c r="M124" s="30"/>
      <c r="N124" s="31"/>
      <c r="O124" s="8"/>
      <c r="P124" s="7"/>
      <c r="Q124" s="7"/>
      <c r="T124" s="61"/>
      <c r="V124" s="21"/>
      <c r="W124" s="61"/>
    </row>
    <row r="125" spans="1:23">
      <c r="A125" s="13"/>
      <c r="B125" s="55" t="s">
        <v>17</v>
      </c>
      <c r="C125" s="103">
        <v>5050</v>
      </c>
      <c r="D125" s="103"/>
      <c r="E125" s="103">
        <v>5050</v>
      </c>
      <c r="F125" s="103"/>
      <c r="G125" s="137">
        <v>3053.7</v>
      </c>
      <c r="H125" s="146">
        <f t="shared" si="24"/>
        <v>60.469306930693065</v>
      </c>
      <c r="I125" s="137">
        <v>3053.7</v>
      </c>
      <c r="J125" s="146">
        <f t="shared" si="20"/>
        <v>60.469306930693065</v>
      </c>
      <c r="K125" s="105"/>
      <c r="L125" s="105"/>
      <c r="M125" s="30"/>
      <c r="N125" s="31"/>
      <c r="O125" s="8"/>
      <c r="P125" s="7"/>
      <c r="Q125" s="7"/>
      <c r="T125" s="61"/>
      <c r="V125" s="21"/>
      <c r="W125" s="61"/>
    </row>
    <row r="126" spans="1:23">
      <c r="A126" s="13"/>
      <c r="B126" s="55" t="s">
        <v>41</v>
      </c>
      <c r="C126" s="103">
        <v>330</v>
      </c>
      <c r="D126" s="103"/>
      <c r="E126" s="103">
        <v>330</v>
      </c>
      <c r="F126" s="103"/>
      <c r="G126" s="138">
        <v>228.63</v>
      </c>
      <c r="H126" s="146">
        <f t="shared" si="24"/>
        <v>69.281818181818181</v>
      </c>
      <c r="I126" s="138">
        <v>228.63</v>
      </c>
      <c r="J126" s="146">
        <f t="shared" si="20"/>
        <v>69.281818181818181</v>
      </c>
      <c r="K126" s="106"/>
      <c r="L126" s="105"/>
      <c r="M126" s="57"/>
      <c r="N126" s="34"/>
      <c r="O126" s="8"/>
      <c r="P126" s="8"/>
      <c r="Q126" s="8"/>
      <c r="T126" s="61"/>
      <c r="V126" s="21"/>
      <c r="W126" s="61"/>
    </row>
    <row r="127" spans="1:23">
      <c r="A127" s="13"/>
      <c r="B127" s="55" t="s">
        <v>42</v>
      </c>
      <c r="C127" s="103">
        <v>1150</v>
      </c>
      <c r="D127" s="103" t="e">
        <f>#REF!+#REF!</f>
        <v>#REF!</v>
      </c>
      <c r="E127" s="103">
        <v>1150</v>
      </c>
      <c r="F127" s="103" t="s">
        <v>10</v>
      </c>
      <c r="G127" s="138">
        <v>1049.8599999999999</v>
      </c>
      <c r="H127" s="146">
        <f t="shared" si="24"/>
        <v>91.29217391304347</v>
      </c>
      <c r="I127" s="138">
        <v>1049.8599999999999</v>
      </c>
      <c r="J127" s="146">
        <f t="shared" si="20"/>
        <v>91.29217391304347</v>
      </c>
      <c r="K127" s="106"/>
      <c r="L127" s="105"/>
      <c r="M127" s="32" t="e">
        <f>#REF!+#REF!</f>
        <v>#REF!</v>
      </c>
      <c r="N127" s="33" t="e">
        <f>#REF!+#REF!</f>
        <v>#REF!</v>
      </c>
      <c r="O127" s="33" t="e">
        <f>#REF!+#REF!</f>
        <v>#REF!</v>
      </c>
      <c r="P127" s="33" t="e">
        <f>#REF!+#REF!</f>
        <v>#REF!</v>
      </c>
      <c r="Q127" s="33" t="e">
        <f>#REF!+#REF!</f>
        <v>#REF!</v>
      </c>
      <c r="T127" s="61"/>
      <c r="V127" s="21"/>
      <c r="W127" s="61"/>
    </row>
    <row r="128" spans="1:23" s="29" customFormat="1">
      <c r="A128" s="26"/>
      <c r="B128" s="99" t="s">
        <v>18</v>
      </c>
      <c r="C128" s="100">
        <f>SUM(C129:C142)</f>
        <v>31501</v>
      </c>
      <c r="D128" s="100" t="e">
        <f>SUM(D129:D131,D133,D135,D141:D142,D137)</f>
        <v>#REF!</v>
      </c>
      <c r="E128" s="100">
        <f>SUM(E129:E142)</f>
        <v>31501</v>
      </c>
      <c r="F128" s="100" t="s">
        <v>10</v>
      </c>
      <c r="G128" s="136">
        <f>SUM(G129:G142)</f>
        <v>16727.019999999997</v>
      </c>
      <c r="H128" s="149">
        <f t="shared" si="24"/>
        <v>53.099965080473623</v>
      </c>
      <c r="I128" s="136">
        <f>SUM(I129:I142)</f>
        <v>16727.019999999997</v>
      </c>
      <c r="J128" s="149">
        <f t="shared" si="20"/>
        <v>53.099965080473623</v>
      </c>
      <c r="K128" s="101"/>
      <c r="L128" s="101"/>
      <c r="M128" s="23" t="e">
        <f t="shared" ref="M128:Q128" si="25">SUM(M129:M131,M133,M135,M141:M142,M137)</f>
        <v>#REF!</v>
      </c>
      <c r="N128" s="24" t="e">
        <f t="shared" si="25"/>
        <v>#REF!</v>
      </c>
      <c r="O128" s="24" t="e">
        <f t="shared" si="25"/>
        <v>#REF!</v>
      </c>
      <c r="P128" s="24">
        <f t="shared" si="25"/>
        <v>0</v>
      </c>
      <c r="Q128" s="24">
        <f t="shared" si="25"/>
        <v>0</v>
      </c>
      <c r="T128" s="61"/>
      <c r="V128" s="21"/>
      <c r="W128" s="61"/>
    </row>
    <row r="129" spans="1:23">
      <c r="A129" s="13"/>
      <c r="B129" s="55" t="s">
        <v>43</v>
      </c>
      <c r="C129" s="103">
        <v>17414</v>
      </c>
      <c r="D129" s="103"/>
      <c r="E129" s="103">
        <v>17414</v>
      </c>
      <c r="F129" s="103"/>
      <c r="G129" s="137">
        <v>684.99</v>
      </c>
      <c r="H129" s="146">
        <f t="shared" si="24"/>
        <v>3.9335592052371657</v>
      </c>
      <c r="I129" s="137">
        <v>684.99</v>
      </c>
      <c r="J129" s="146">
        <f t="shared" si="24"/>
        <v>3.9335592052371657</v>
      </c>
      <c r="K129" s="105"/>
      <c r="L129" s="105"/>
      <c r="M129" s="9"/>
      <c r="N129" s="10"/>
      <c r="O129" s="8"/>
      <c r="P129" s="7"/>
      <c r="Q129" s="7"/>
      <c r="T129" s="61"/>
      <c r="V129" s="21"/>
      <c r="W129" s="61"/>
    </row>
    <row r="130" spans="1:23">
      <c r="A130" s="13"/>
      <c r="B130" s="55" t="s">
        <v>44</v>
      </c>
      <c r="C130" s="103">
        <f t="shared" ref="C130:C137" si="26">E130+F130</f>
        <v>2000</v>
      </c>
      <c r="D130" s="103"/>
      <c r="E130" s="103">
        <v>2000</v>
      </c>
      <c r="F130" s="103"/>
      <c r="G130" s="137">
        <v>2953.99</v>
      </c>
      <c r="H130" s="146">
        <f t="shared" si="24"/>
        <v>147.69949999999997</v>
      </c>
      <c r="I130" s="137">
        <v>2953.99</v>
      </c>
      <c r="J130" s="146">
        <f t="shared" si="24"/>
        <v>147.69949999999997</v>
      </c>
      <c r="K130" s="105"/>
      <c r="L130" s="105"/>
      <c r="M130" s="9"/>
      <c r="N130" s="10"/>
      <c r="O130" s="8"/>
      <c r="P130" s="7"/>
      <c r="Q130" s="7"/>
      <c r="T130" s="61"/>
      <c r="V130" s="21"/>
      <c r="W130" s="61"/>
    </row>
    <row r="131" spans="1:23">
      <c r="A131" s="13"/>
      <c r="B131" s="55" t="s">
        <v>45</v>
      </c>
      <c r="C131" s="103">
        <f t="shared" si="26"/>
        <v>1000</v>
      </c>
      <c r="D131" s="103"/>
      <c r="E131" s="103">
        <v>1000</v>
      </c>
      <c r="F131" s="103"/>
      <c r="G131" s="137">
        <v>723.06</v>
      </c>
      <c r="H131" s="146">
        <f t="shared" si="24"/>
        <v>72.305999999999997</v>
      </c>
      <c r="I131" s="137">
        <v>723.06</v>
      </c>
      <c r="J131" s="146">
        <f t="shared" si="20"/>
        <v>72.305999999999997</v>
      </c>
      <c r="K131" s="105"/>
      <c r="L131" s="105"/>
      <c r="M131" s="9"/>
      <c r="N131" s="10"/>
      <c r="O131" s="8"/>
      <c r="P131" s="7"/>
      <c r="Q131" s="7"/>
      <c r="T131" s="61"/>
      <c r="V131" s="21"/>
      <c r="W131" s="61"/>
    </row>
    <row r="132" spans="1:23">
      <c r="A132" s="13"/>
      <c r="B132" s="55" t="s">
        <v>141</v>
      </c>
      <c r="C132" s="103">
        <v>148</v>
      </c>
      <c r="D132" s="103"/>
      <c r="E132" s="103">
        <v>148</v>
      </c>
      <c r="F132" s="103"/>
      <c r="G132" s="138">
        <v>125.4</v>
      </c>
      <c r="H132" s="146">
        <f t="shared" si="24"/>
        <v>84.729729729729726</v>
      </c>
      <c r="I132" s="138">
        <v>125.4</v>
      </c>
      <c r="J132" s="146">
        <f t="shared" si="24"/>
        <v>84.729729729729726</v>
      </c>
      <c r="K132" s="106"/>
      <c r="L132" s="105"/>
      <c r="M132" s="9"/>
      <c r="N132" s="10"/>
      <c r="O132" s="8"/>
      <c r="P132" s="7"/>
      <c r="Q132" s="7"/>
      <c r="T132" s="61"/>
      <c r="V132" s="21"/>
      <c r="W132" s="61"/>
    </row>
    <row r="133" spans="1:23">
      <c r="A133" s="13"/>
      <c r="B133" s="55" t="s">
        <v>46</v>
      </c>
      <c r="C133" s="103">
        <v>6875</v>
      </c>
      <c r="D133" s="103" t="e">
        <f>SUM(#REF!)</f>
        <v>#REF!</v>
      </c>
      <c r="E133" s="103">
        <v>6875</v>
      </c>
      <c r="F133" s="103"/>
      <c r="G133" s="138">
        <v>6510.52</v>
      </c>
      <c r="H133" s="146">
        <f t="shared" si="24"/>
        <v>94.69847272727273</v>
      </c>
      <c r="I133" s="138">
        <v>6510.52</v>
      </c>
      <c r="J133" s="146">
        <f t="shared" si="20"/>
        <v>94.69847272727273</v>
      </c>
      <c r="K133" s="106"/>
      <c r="L133" s="105"/>
      <c r="M133" s="9" t="e">
        <f>SUM(#REF!)</f>
        <v>#REF!</v>
      </c>
      <c r="N133" s="10" t="e">
        <f>SUM(#REF!)</f>
        <v>#REF!</v>
      </c>
      <c r="O133" s="34" t="e">
        <f>SUM(#REF!)</f>
        <v>#REF!</v>
      </c>
      <c r="P133" s="7"/>
      <c r="Q133" s="7"/>
      <c r="T133" s="61"/>
      <c r="V133" s="21"/>
      <c r="W133" s="61"/>
    </row>
    <row r="134" spans="1:23">
      <c r="A134" s="13"/>
      <c r="B134" s="55" t="s">
        <v>165</v>
      </c>
      <c r="C134" s="103">
        <v>150</v>
      </c>
      <c r="D134" s="103"/>
      <c r="E134" s="103">
        <v>150</v>
      </c>
      <c r="F134" s="103"/>
      <c r="G134" s="138">
        <v>150</v>
      </c>
      <c r="H134" s="146">
        <f t="shared" si="24"/>
        <v>100</v>
      </c>
      <c r="I134" s="138">
        <v>150</v>
      </c>
      <c r="J134" s="146">
        <f t="shared" si="20"/>
        <v>100</v>
      </c>
      <c r="K134" s="106"/>
      <c r="L134" s="105"/>
      <c r="M134" s="9"/>
      <c r="N134" s="10"/>
      <c r="O134" s="34"/>
      <c r="P134" s="7"/>
      <c r="Q134" s="7"/>
      <c r="T134" s="61"/>
      <c r="V134" s="21"/>
      <c r="W134" s="61"/>
    </row>
    <row r="135" spans="1:23">
      <c r="A135" s="13"/>
      <c r="B135" s="55" t="s">
        <v>69</v>
      </c>
      <c r="C135" s="103">
        <v>2594</v>
      </c>
      <c r="D135" s="103"/>
      <c r="E135" s="103">
        <v>2594</v>
      </c>
      <c r="F135" s="103"/>
      <c r="G135" s="137">
        <v>4049.74</v>
      </c>
      <c r="H135" s="146">
        <f t="shared" si="24"/>
        <v>156.11950655358521</v>
      </c>
      <c r="I135" s="137">
        <v>4049.74</v>
      </c>
      <c r="J135" s="146">
        <f t="shared" si="20"/>
        <v>156.11950655358521</v>
      </c>
      <c r="K135" s="105"/>
      <c r="L135" s="105"/>
      <c r="M135" s="9"/>
      <c r="N135" s="10"/>
      <c r="O135" s="11"/>
      <c r="P135" s="7"/>
      <c r="Q135" s="7"/>
      <c r="T135" s="61"/>
      <c r="V135" s="21"/>
      <c r="W135" s="61"/>
    </row>
    <row r="136" spans="1:23">
      <c r="A136" s="13"/>
      <c r="B136" s="55" t="s">
        <v>166</v>
      </c>
      <c r="C136" s="103"/>
      <c r="D136" s="103"/>
      <c r="E136" s="103"/>
      <c r="F136" s="103"/>
      <c r="G136" s="137">
        <v>270</v>
      </c>
      <c r="H136" s="146"/>
      <c r="I136" s="137">
        <v>270</v>
      </c>
      <c r="J136" s="146"/>
      <c r="K136" s="105"/>
      <c r="L136" s="105"/>
      <c r="M136" s="9"/>
      <c r="N136" s="10"/>
      <c r="O136" s="11"/>
      <c r="P136" s="7"/>
      <c r="Q136" s="7"/>
      <c r="T136" s="61"/>
      <c r="V136" s="21"/>
      <c r="W136" s="61"/>
    </row>
    <row r="137" spans="1:23">
      <c r="A137" s="13"/>
      <c r="B137" s="55" t="s">
        <v>47</v>
      </c>
      <c r="C137" s="103">
        <f t="shared" si="26"/>
        <v>350</v>
      </c>
      <c r="D137" s="103"/>
      <c r="E137" s="103">
        <v>350</v>
      </c>
      <c r="F137" s="103"/>
      <c r="G137" s="137">
        <v>168.21</v>
      </c>
      <c r="H137" s="146">
        <f t="shared" si="24"/>
        <v>48.06</v>
      </c>
      <c r="I137" s="137">
        <v>168.21</v>
      </c>
      <c r="J137" s="146">
        <f t="shared" si="24"/>
        <v>48.06</v>
      </c>
      <c r="K137" s="105"/>
      <c r="L137" s="105"/>
      <c r="M137" s="30"/>
      <c r="N137" s="31"/>
      <c r="O137" s="34"/>
      <c r="P137" s="7"/>
      <c r="Q137" s="7"/>
      <c r="T137" s="61"/>
      <c r="V137" s="21"/>
      <c r="W137" s="61"/>
    </row>
    <row r="138" spans="1:23">
      <c r="A138" s="13"/>
      <c r="B138" s="55" t="s">
        <v>134</v>
      </c>
      <c r="C138" s="103">
        <v>45</v>
      </c>
      <c r="D138" s="103"/>
      <c r="E138" s="103">
        <v>45</v>
      </c>
      <c r="F138" s="103"/>
      <c r="G138" s="137">
        <v>48.65</v>
      </c>
      <c r="H138" s="146">
        <f t="shared" si="24"/>
        <v>108.11111111111111</v>
      </c>
      <c r="I138" s="137">
        <v>48.65</v>
      </c>
      <c r="J138" s="146">
        <f t="shared" si="24"/>
        <v>108.11111111111111</v>
      </c>
      <c r="K138" s="105"/>
      <c r="L138" s="105"/>
      <c r="M138" s="30"/>
      <c r="N138" s="31"/>
      <c r="O138" s="34"/>
      <c r="P138" s="7"/>
      <c r="Q138" s="7"/>
      <c r="T138" s="61"/>
      <c r="V138" s="21"/>
      <c r="W138" s="61"/>
    </row>
    <row r="139" spans="1:23">
      <c r="A139" s="13"/>
      <c r="B139" s="55" t="s">
        <v>167</v>
      </c>
      <c r="C139" s="103"/>
      <c r="D139" s="103"/>
      <c r="E139" s="103"/>
      <c r="F139" s="103"/>
      <c r="G139" s="137">
        <v>521.6</v>
      </c>
      <c r="H139" s="146"/>
      <c r="I139" s="137">
        <v>521.6</v>
      </c>
      <c r="J139" s="146"/>
      <c r="K139" s="105"/>
      <c r="L139" s="105"/>
      <c r="M139" s="30"/>
      <c r="N139" s="31"/>
      <c r="O139" s="34"/>
      <c r="P139" s="7"/>
      <c r="Q139" s="7"/>
      <c r="T139" s="61"/>
      <c r="V139" s="21"/>
      <c r="W139" s="61"/>
    </row>
    <row r="140" spans="1:23">
      <c r="A140" s="13"/>
      <c r="B140" s="55" t="s">
        <v>103</v>
      </c>
      <c r="C140" s="103">
        <v>175</v>
      </c>
      <c r="D140" s="103"/>
      <c r="E140" s="103">
        <v>175</v>
      </c>
      <c r="F140" s="103"/>
      <c r="G140" s="137">
        <v>174.5</v>
      </c>
      <c r="H140" s="146">
        <f t="shared" si="24"/>
        <v>99.714285714285708</v>
      </c>
      <c r="I140" s="137">
        <v>174.5</v>
      </c>
      <c r="J140" s="146">
        <f t="shared" si="24"/>
        <v>99.714285714285708</v>
      </c>
      <c r="K140" s="105"/>
      <c r="L140" s="105"/>
      <c r="M140" s="30"/>
      <c r="N140" s="31"/>
      <c r="O140" s="34"/>
      <c r="P140" s="7"/>
      <c r="Q140" s="7"/>
      <c r="T140" s="61"/>
      <c r="V140" s="21"/>
      <c r="W140" s="61"/>
    </row>
    <row r="141" spans="1:23">
      <c r="A141" s="13"/>
      <c r="B141" s="55" t="s">
        <v>48</v>
      </c>
      <c r="C141" s="103">
        <v>300</v>
      </c>
      <c r="D141" s="103"/>
      <c r="E141" s="103">
        <v>300</v>
      </c>
      <c r="F141" s="103"/>
      <c r="G141" s="137">
        <v>165.17</v>
      </c>
      <c r="H141" s="146">
        <f t="shared" si="24"/>
        <v>55.056666666666665</v>
      </c>
      <c r="I141" s="137">
        <v>165.17</v>
      </c>
      <c r="J141" s="146">
        <f t="shared" si="20"/>
        <v>55.056666666666665</v>
      </c>
      <c r="K141" s="105"/>
      <c r="L141" s="105"/>
      <c r="M141" s="9"/>
      <c r="N141" s="10"/>
      <c r="O141" s="11"/>
      <c r="P141" s="7"/>
      <c r="Q141" s="7"/>
      <c r="T141" s="61"/>
      <c r="V141" s="21"/>
      <c r="W141" s="61"/>
    </row>
    <row r="142" spans="1:23">
      <c r="A142" s="13"/>
      <c r="B142" s="55" t="s">
        <v>49</v>
      </c>
      <c r="C142" s="103">
        <v>450</v>
      </c>
      <c r="D142" s="103"/>
      <c r="E142" s="103">
        <v>450</v>
      </c>
      <c r="F142" s="103"/>
      <c r="G142" s="137">
        <v>181.19</v>
      </c>
      <c r="H142" s="146">
        <f t="shared" si="24"/>
        <v>40.264444444444443</v>
      </c>
      <c r="I142" s="137">
        <v>181.19</v>
      </c>
      <c r="J142" s="146">
        <f t="shared" si="20"/>
        <v>40.264444444444443</v>
      </c>
      <c r="K142" s="105"/>
      <c r="L142" s="105"/>
      <c r="M142" s="9"/>
      <c r="N142" s="10"/>
      <c r="O142" s="11"/>
      <c r="P142" s="7"/>
      <c r="Q142" s="7"/>
      <c r="T142" s="61"/>
      <c r="V142" s="21"/>
      <c r="W142" s="61"/>
    </row>
    <row r="143" spans="1:23" s="41" customFormat="1" ht="15" customHeight="1">
      <c r="A143" s="26"/>
      <c r="B143" s="27" t="s">
        <v>20</v>
      </c>
      <c r="C143" s="100">
        <f>SUM(C144:C147)</f>
        <v>20573</v>
      </c>
      <c r="D143" s="100">
        <f t="shared" ref="D143" si="27">SUM(D144:D147)</f>
        <v>0</v>
      </c>
      <c r="E143" s="100">
        <f>SUM(E144:E147)</f>
        <v>20573</v>
      </c>
      <c r="F143" s="100"/>
      <c r="G143" s="136">
        <f>SUM(G144:G147)</f>
        <v>20381.02</v>
      </c>
      <c r="H143" s="149">
        <f t="shared" si="24"/>
        <v>99.066835172313233</v>
      </c>
      <c r="I143" s="136">
        <f>SUM(I144:I147)</f>
        <v>20381.02</v>
      </c>
      <c r="J143" s="149">
        <f t="shared" si="20"/>
        <v>99.066835172313233</v>
      </c>
      <c r="K143" s="101"/>
      <c r="L143" s="101"/>
      <c r="M143" s="35">
        <f t="shared" ref="M143:Q143" si="28">SUM(M144:M147)</f>
        <v>0</v>
      </c>
      <c r="N143" s="36">
        <f t="shared" si="28"/>
        <v>0</v>
      </c>
      <c r="O143" s="36">
        <f t="shared" si="28"/>
        <v>0</v>
      </c>
      <c r="P143" s="36">
        <f t="shared" si="28"/>
        <v>0</v>
      </c>
      <c r="Q143" s="36">
        <f t="shared" si="28"/>
        <v>0</v>
      </c>
      <c r="T143" s="61"/>
      <c r="V143" s="21"/>
      <c r="W143" s="61"/>
    </row>
    <row r="144" spans="1:23">
      <c r="A144" s="26"/>
      <c r="B144" s="55" t="s">
        <v>50</v>
      </c>
      <c r="C144" s="103">
        <v>700</v>
      </c>
      <c r="D144" s="103"/>
      <c r="E144" s="103">
        <v>700</v>
      </c>
      <c r="F144" s="100"/>
      <c r="G144" s="138">
        <v>763.63</v>
      </c>
      <c r="H144" s="146">
        <f t="shared" si="24"/>
        <v>109.09</v>
      </c>
      <c r="I144" s="138">
        <v>763.63</v>
      </c>
      <c r="J144" s="146">
        <f t="shared" si="20"/>
        <v>109.09</v>
      </c>
      <c r="K144" s="106"/>
      <c r="L144" s="105"/>
      <c r="M144" s="6"/>
      <c r="N144" s="7"/>
      <c r="O144" s="8"/>
      <c r="P144" s="7"/>
      <c r="Q144" s="7"/>
      <c r="T144" s="61"/>
      <c r="V144" s="21"/>
      <c r="W144" s="61"/>
    </row>
    <row r="145" spans="1:23">
      <c r="A145" s="13"/>
      <c r="B145" s="55" t="s">
        <v>51</v>
      </c>
      <c r="C145" s="103">
        <v>1250</v>
      </c>
      <c r="D145" s="103"/>
      <c r="E145" s="103">
        <v>1250</v>
      </c>
      <c r="F145" s="100"/>
      <c r="G145" s="138">
        <v>1694.3</v>
      </c>
      <c r="H145" s="146">
        <f t="shared" si="24"/>
        <v>135.54400000000001</v>
      </c>
      <c r="I145" s="138">
        <v>1694.3</v>
      </c>
      <c r="J145" s="146">
        <f t="shared" si="20"/>
        <v>135.54400000000001</v>
      </c>
      <c r="K145" s="106"/>
      <c r="L145" s="105"/>
      <c r="M145" s="9"/>
      <c r="N145" s="10"/>
      <c r="O145" s="42"/>
      <c r="P145" s="7"/>
      <c r="Q145" s="7"/>
      <c r="T145" s="61"/>
      <c r="V145" s="21"/>
      <c r="W145" s="61"/>
    </row>
    <row r="146" spans="1:23">
      <c r="A146" s="13"/>
      <c r="B146" s="55" t="s">
        <v>52</v>
      </c>
      <c r="C146" s="103">
        <v>18523</v>
      </c>
      <c r="D146" s="103"/>
      <c r="E146" s="103">
        <v>18523</v>
      </c>
      <c r="F146" s="100"/>
      <c r="G146" s="138">
        <v>17851.09</v>
      </c>
      <c r="H146" s="146">
        <f t="shared" si="24"/>
        <v>96.372563839550835</v>
      </c>
      <c r="I146" s="138">
        <v>17851.09</v>
      </c>
      <c r="J146" s="146">
        <f t="shared" si="20"/>
        <v>96.372563839550835</v>
      </c>
      <c r="K146" s="106"/>
      <c r="L146" s="105"/>
      <c r="M146" s="9"/>
      <c r="N146" s="10"/>
      <c r="O146" s="42"/>
      <c r="P146" s="7"/>
      <c r="Q146" s="7"/>
      <c r="T146" s="61"/>
      <c r="V146" s="21"/>
      <c r="W146" s="61"/>
    </row>
    <row r="147" spans="1:23">
      <c r="A147" s="13"/>
      <c r="B147" s="55" t="s">
        <v>53</v>
      </c>
      <c r="C147" s="103">
        <v>100</v>
      </c>
      <c r="D147" s="103"/>
      <c r="E147" s="103">
        <v>100</v>
      </c>
      <c r="F147" s="100"/>
      <c r="G147" s="138">
        <v>72</v>
      </c>
      <c r="H147" s="146">
        <f t="shared" si="24"/>
        <v>72</v>
      </c>
      <c r="I147" s="138">
        <v>72</v>
      </c>
      <c r="J147" s="146">
        <f t="shared" si="20"/>
        <v>72</v>
      </c>
      <c r="K147" s="106"/>
      <c r="L147" s="105"/>
      <c r="M147" s="9"/>
      <c r="N147" s="10"/>
      <c r="O147" s="8"/>
      <c r="P147" s="7"/>
      <c r="Q147" s="7"/>
      <c r="T147" s="61"/>
      <c r="V147" s="21"/>
      <c r="W147" s="61"/>
    </row>
    <row r="148" spans="1:23" s="29" customFormat="1">
      <c r="A148" s="26"/>
      <c r="B148" s="99" t="s">
        <v>21</v>
      </c>
      <c r="C148" s="100">
        <f>SUM(C149:C149)</f>
        <v>304</v>
      </c>
      <c r="D148" s="100"/>
      <c r="E148" s="100">
        <f>SUM(E149:E149)</f>
        <v>304</v>
      </c>
      <c r="F148" s="100"/>
      <c r="G148" s="136">
        <f>SUM(G149)</f>
        <v>320.95</v>
      </c>
      <c r="H148" s="149">
        <f t="shared" si="24"/>
        <v>105.57565789473684</v>
      </c>
      <c r="I148" s="136">
        <f>SUM(I149)</f>
        <v>320.95</v>
      </c>
      <c r="J148" s="149">
        <f t="shared" si="20"/>
        <v>105.57565789473684</v>
      </c>
      <c r="K148" s="101"/>
      <c r="L148" s="101"/>
      <c r="M148" s="15">
        <f>M149</f>
        <v>0</v>
      </c>
      <c r="N148" s="16">
        <f>N149</f>
        <v>0</v>
      </c>
      <c r="O148" s="22">
        <f>O149</f>
        <v>0</v>
      </c>
      <c r="P148" s="27"/>
      <c r="Q148" s="27"/>
      <c r="T148" s="61"/>
      <c r="V148" s="21"/>
      <c r="W148" s="61"/>
    </row>
    <row r="149" spans="1:23" s="21" customFormat="1">
      <c r="A149" s="12"/>
      <c r="B149" s="102" t="s">
        <v>54</v>
      </c>
      <c r="C149" s="103">
        <f>E149</f>
        <v>304</v>
      </c>
      <c r="D149" s="103"/>
      <c r="E149" s="103">
        <v>304</v>
      </c>
      <c r="F149" s="103"/>
      <c r="G149" s="138">
        <v>320.95</v>
      </c>
      <c r="H149" s="146">
        <f t="shared" si="24"/>
        <v>105.57565789473684</v>
      </c>
      <c r="I149" s="138">
        <v>320.95</v>
      </c>
      <c r="J149" s="146">
        <f t="shared" si="20"/>
        <v>105.57565789473684</v>
      </c>
      <c r="K149" s="106"/>
      <c r="L149" s="105"/>
      <c r="M149" s="43"/>
      <c r="N149" s="44"/>
      <c r="O149" s="20"/>
      <c r="P149" s="12"/>
      <c r="Q149" s="12"/>
      <c r="T149" s="61"/>
      <c r="W149" s="61"/>
    </row>
    <row r="150" spans="1:23" s="29" customFormat="1">
      <c r="A150" s="26"/>
      <c r="B150" s="99" t="s">
        <v>22</v>
      </c>
      <c r="C150" s="100">
        <f>SUM(C151:C160)</f>
        <v>21993</v>
      </c>
      <c r="D150" s="100" t="e">
        <f>SUM(D151:D160)</f>
        <v>#REF!</v>
      </c>
      <c r="E150" s="100">
        <f>SUM(E151:E160)</f>
        <v>21993</v>
      </c>
      <c r="F150" s="100" t="s">
        <v>10</v>
      </c>
      <c r="G150" s="136">
        <f>SUM(G151:G160)</f>
        <v>21602.45</v>
      </c>
      <c r="H150" s="149">
        <f t="shared" si="24"/>
        <v>98.224207702450784</v>
      </c>
      <c r="I150" s="136">
        <f>SUM(I151:I160)</f>
        <v>21602.45</v>
      </c>
      <c r="J150" s="149">
        <f t="shared" si="20"/>
        <v>98.224207702450784</v>
      </c>
      <c r="K150" s="101"/>
      <c r="L150" s="101"/>
      <c r="M150" s="14" t="e">
        <f>M151+#REF!+#REF!+#REF!+#REF!+M152+#REF!+#REF!+M154+#REF!+M155+M156+M158+#REF!+#REF!+#REF!+M159+#REF!+#REF!+#REF!+#REF!</f>
        <v>#REF!</v>
      </c>
      <c r="N150" s="14" t="e">
        <f>N151+#REF!+#REF!+#REF!+#REF!+N152+#REF!+#REF!+N154+#REF!+N155+N156+N158+#REF!+#REF!+#REF!+N159+#REF!+#REF!+#REF!+#REF!</f>
        <v>#REF!</v>
      </c>
      <c r="O150" s="14" t="e">
        <f>O151+#REF!+#REF!+#REF!+#REF!+O152+#REF!+#REF!+O154+#REF!+O155+O156+O158+#REF!+#REF!+#REF!+O159+#REF!+#REF!+#REF!+#REF!</f>
        <v>#REF!</v>
      </c>
      <c r="P150" s="14" t="e">
        <f>P151+#REF!+#REF!+#REF!+#REF!+P152+#REF!+#REF!+P154+#REF!+P155+P156+P158+#REF!+#REF!+#REF!+P159+#REF!+#REF!+#REF!+#REF!</f>
        <v>#REF!</v>
      </c>
      <c r="Q150" s="14" t="e">
        <f>Q151+#REF!+#REF!+#REF!+#REF!+Q152+#REF!+#REF!+Q154+#REF!+Q155+Q156+Q158+#REF!+#REF!+#REF!+Q159+#REF!+#REF!+#REF!+#REF!</f>
        <v>#REF!</v>
      </c>
      <c r="T150" s="61"/>
      <c r="V150" s="21"/>
      <c r="W150" s="61"/>
    </row>
    <row r="151" spans="1:23" ht="12" customHeight="1">
      <c r="A151" s="13"/>
      <c r="B151" s="55" t="s">
        <v>55</v>
      </c>
      <c r="C151" s="103">
        <f>E151</f>
        <v>786</v>
      </c>
      <c r="D151" s="103"/>
      <c r="E151" s="103">
        <v>786</v>
      </c>
      <c r="F151" s="103"/>
      <c r="G151" s="138">
        <v>547.5</v>
      </c>
      <c r="H151" s="146">
        <f t="shared" si="24"/>
        <v>69.656488549618317</v>
      </c>
      <c r="I151" s="138">
        <v>547.5</v>
      </c>
      <c r="J151" s="146">
        <f t="shared" si="20"/>
        <v>69.656488549618317</v>
      </c>
      <c r="K151" s="108"/>
      <c r="L151" s="105"/>
      <c r="M151" s="6"/>
      <c r="N151" s="7"/>
      <c r="O151" s="8"/>
      <c r="P151" s="7"/>
      <c r="Q151" s="7"/>
      <c r="T151" s="61"/>
      <c r="V151" s="21"/>
      <c r="W151" s="61"/>
    </row>
    <row r="152" spans="1:23">
      <c r="A152" s="45"/>
      <c r="B152" s="55" t="s">
        <v>56</v>
      </c>
      <c r="C152" s="103">
        <v>3460</v>
      </c>
      <c r="D152" s="103" t="e">
        <f>#REF!+#REF!+#REF!</f>
        <v>#REF!</v>
      </c>
      <c r="E152" s="103">
        <v>3460</v>
      </c>
      <c r="F152" s="103" t="s">
        <v>10</v>
      </c>
      <c r="G152" s="138">
        <v>3473.06</v>
      </c>
      <c r="H152" s="146">
        <f t="shared" si="24"/>
        <v>100.37745664739883</v>
      </c>
      <c r="I152" s="138">
        <v>3473.06</v>
      </c>
      <c r="J152" s="146">
        <f t="shared" si="20"/>
        <v>100.37745664739883</v>
      </c>
      <c r="K152" s="108"/>
      <c r="L152" s="105"/>
      <c r="M152" s="46" t="e">
        <f>#REF!+#REF!+#REF!</f>
        <v>#REF!</v>
      </c>
      <c r="N152" s="47" t="e">
        <f>#REF!+#REF!+#REF!</f>
        <v>#REF!</v>
      </c>
      <c r="O152" s="48" t="e">
        <f>#REF!+#REF!+#REF!</f>
        <v>#REF!</v>
      </c>
      <c r="P152" s="7"/>
      <c r="Q152" s="7"/>
      <c r="T152" s="61"/>
      <c r="V152" s="21"/>
      <c r="W152" s="61"/>
    </row>
    <row r="153" spans="1:23">
      <c r="A153" s="45"/>
      <c r="B153" s="55" t="s">
        <v>57</v>
      </c>
      <c r="C153" s="103">
        <v>700</v>
      </c>
      <c r="D153" s="103"/>
      <c r="E153" s="103">
        <v>700</v>
      </c>
      <c r="F153" s="103"/>
      <c r="G153" s="138">
        <v>646.55999999999995</v>
      </c>
      <c r="H153" s="146">
        <f t="shared" si="24"/>
        <v>92.365714285714276</v>
      </c>
      <c r="I153" s="138">
        <v>646.55999999999995</v>
      </c>
      <c r="J153" s="146">
        <f t="shared" si="20"/>
        <v>92.365714285714276</v>
      </c>
      <c r="K153" s="108"/>
      <c r="L153" s="105"/>
      <c r="M153" s="46"/>
      <c r="N153" s="47"/>
      <c r="O153" s="48"/>
      <c r="P153" s="7"/>
      <c r="Q153" s="7"/>
      <c r="T153" s="61"/>
      <c r="V153" s="21"/>
      <c r="W153" s="61"/>
    </row>
    <row r="154" spans="1:23">
      <c r="A154" s="13"/>
      <c r="B154" s="55" t="s">
        <v>58</v>
      </c>
      <c r="C154" s="103">
        <f t="shared" ref="C154:C159" si="29">E154</f>
        <v>800</v>
      </c>
      <c r="D154" s="103"/>
      <c r="E154" s="103">
        <v>800</v>
      </c>
      <c r="F154" s="103"/>
      <c r="G154" s="138">
        <v>542.55999999999995</v>
      </c>
      <c r="H154" s="146">
        <f t="shared" si="24"/>
        <v>67.819999999999993</v>
      </c>
      <c r="I154" s="138">
        <v>542.55999999999995</v>
      </c>
      <c r="J154" s="146">
        <f t="shared" si="20"/>
        <v>67.819999999999993</v>
      </c>
      <c r="K154" s="108"/>
      <c r="L154" s="105"/>
      <c r="M154" s="9"/>
      <c r="N154" s="10"/>
      <c r="O154" s="8"/>
      <c r="P154" s="7"/>
      <c r="Q154" s="7"/>
      <c r="T154" s="61"/>
      <c r="V154" s="21"/>
      <c r="W154" s="61"/>
    </row>
    <row r="155" spans="1:23">
      <c r="A155" s="13"/>
      <c r="B155" s="55" t="s">
        <v>59</v>
      </c>
      <c r="C155" s="103">
        <f t="shared" si="29"/>
        <v>8550</v>
      </c>
      <c r="D155" s="103"/>
      <c r="E155" s="103">
        <v>8550</v>
      </c>
      <c r="F155" s="103"/>
      <c r="G155" s="138">
        <v>9058.4</v>
      </c>
      <c r="H155" s="146">
        <f t="shared" si="24"/>
        <v>105.94619883040934</v>
      </c>
      <c r="I155" s="138">
        <v>9058.4</v>
      </c>
      <c r="J155" s="146">
        <f t="shared" si="20"/>
        <v>105.94619883040934</v>
      </c>
      <c r="K155" s="108"/>
      <c r="L155" s="105"/>
      <c r="M155" s="9"/>
      <c r="N155" s="10"/>
      <c r="O155" s="8"/>
      <c r="P155" s="7"/>
      <c r="Q155" s="7"/>
      <c r="T155" s="61"/>
      <c r="V155" s="21"/>
      <c r="W155" s="61"/>
    </row>
    <row r="156" spans="1:23">
      <c r="A156" s="13"/>
      <c r="B156" s="55" t="s">
        <v>60</v>
      </c>
      <c r="C156" s="103">
        <v>3850</v>
      </c>
      <c r="D156" s="103"/>
      <c r="E156" s="103">
        <v>3850</v>
      </c>
      <c r="F156" s="103"/>
      <c r="G156" s="138">
        <v>3798.29</v>
      </c>
      <c r="H156" s="146">
        <f t="shared" si="24"/>
        <v>98.656883116883122</v>
      </c>
      <c r="I156" s="138">
        <v>3798.29</v>
      </c>
      <c r="J156" s="146">
        <f t="shared" si="20"/>
        <v>98.656883116883122</v>
      </c>
      <c r="K156" s="108"/>
      <c r="L156" s="105"/>
      <c r="M156" s="9"/>
      <c r="N156" s="10"/>
      <c r="O156" s="8"/>
      <c r="P156" s="7"/>
      <c r="Q156" s="7"/>
      <c r="T156" s="61"/>
      <c r="V156" s="21"/>
      <c r="W156" s="61"/>
    </row>
    <row r="157" spans="1:23">
      <c r="A157" s="58"/>
      <c r="B157" s="55" t="s">
        <v>142</v>
      </c>
      <c r="C157" s="103">
        <v>7</v>
      </c>
      <c r="D157" s="103"/>
      <c r="E157" s="103">
        <v>7</v>
      </c>
      <c r="F157" s="103"/>
      <c r="G157" s="138">
        <v>6.64</v>
      </c>
      <c r="H157" s="146">
        <f t="shared" si="24"/>
        <v>94.857142857142847</v>
      </c>
      <c r="I157" s="138">
        <v>6.64</v>
      </c>
      <c r="J157" s="146">
        <f t="shared" si="20"/>
        <v>94.857142857142847</v>
      </c>
      <c r="K157" s="108"/>
      <c r="L157" s="105"/>
      <c r="M157" s="9"/>
      <c r="N157" s="10"/>
      <c r="O157" s="8"/>
      <c r="P157" s="7"/>
      <c r="Q157" s="7"/>
      <c r="T157" s="61"/>
      <c r="V157" s="21"/>
      <c r="W157" s="61"/>
    </row>
    <row r="158" spans="1:23">
      <c r="A158" s="49"/>
      <c r="B158" s="55" t="s">
        <v>61</v>
      </c>
      <c r="C158" s="103">
        <v>3000</v>
      </c>
      <c r="D158" s="103"/>
      <c r="E158" s="103">
        <v>3000</v>
      </c>
      <c r="F158" s="103"/>
      <c r="G158" s="138">
        <v>2931.81</v>
      </c>
      <c r="H158" s="146">
        <f t="shared" si="24"/>
        <v>97.727000000000004</v>
      </c>
      <c r="I158" s="138">
        <v>2931.81</v>
      </c>
      <c r="J158" s="146">
        <f t="shared" si="20"/>
        <v>97.727000000000004</v>
      </c>
      <c r="K158" s="108"/>
      <c r="L158" s="105"/>
      <c r="M158" s="9"/>
      <c r="N158" s="10"/>
      <c r="O158" s="8"/>
      <c r="P158" s="7"/>
      <c r="Q158" s="7"/>
      <c r="T158" s="61"/>
      <c r="V158" s="21"/>
      <c r="W158" s="61" t="s">
        <v>10</v>
      </c>
    </row>
    <row r="159" spans="1:23">
      <c r="A159" s="26"/>
      <c r="B159" s="55" t="s">
        <v>156</v>
      </c>
      <c r="C159" s="103">
        <f t="shared" si="29"/>
        <v>500</v>
      </c>
      <c r="D159" s="103"/>
      <c r="E159" s="103">
        <v>500</v>
      </c>
      <c r="F159" s="103"/>
      <c r="G159" s="138">
        <v>256.14999999999998</v>
      </c>
      <c r="H159" s="146">
        <f t="shared" si="24"/>
        <v>51.23</v>
      </c>
      <c r="I159" s="138">
        <v>256.14999999999998</v>
      </c>
      <c r="J159" s="146">
        <f t="shared" si="20"/>
        <v>51.23</v>
      </c>
      <c r="K159" s="108"/>
      <c r="L159" s="105"/>
      <c r="M159" s="9"/>
      <c r="N159" s="10"/>
      <c r="O159" s="8"/>
      <c r="P159" s="7"/>
      <c r="Q159" s="7"/>
      <c r="T159" s="61"/>
      <c r="V159" s="21"/>
      <c r="W159" s="61"/>
    </row>
    <row r="160" spans="1:23">
      <c r="A160" s="26"/>
      <c r="B160" s="55" t="s">
        <v>62</v>
      </c>
      <c r="C160" s="103">
        <v>340</v>
      </c>
      <c r="D160" s="103"/>
      <c r="E160" s="103">
        <v>340</v>
      </c>
      <c r="F160" s="103"/>
      <c r="G160" s="138">
        <v>341.48</v>
      </c>
      <c r="H160" s="146">
        <f t="shared" si="24"/>
        <v>100.43529411764706</v>
      </c>
      <c r="I160" s="138">
        <v>341.48</v>
      </c>
      <c r="J160" s="146">
        <f t="shared" si="20"/>
        <v>100.43529411764706</v>
      </c>
      <c r="K160" s="108"/>
      <c r="L160" s="105"/>
      <c r="M160" s="9"/>
      <c r="N160" s="10"/>
      <c r="O160" s="8"/>
      <c r="P160" s="7"/>
      <c r="Q160" s="7"/>
      <c r="T160" s="61"/>
      <c r="V160" s="21"/>
      <c r="W160" s="61"/>
    </row>
    <row r="161" spans="1:23" s="29" customFormat="1">
      <c r="A161" s="26"/>
      <c r="B161" s="99" t="s">
        <v>23</v>
      </c>
      <c r="C161" s="100">
        <f>SUM(C162:C164)</f>
        <v>4685</v>
      </c>
      <c r="D161" s="100">
        <f>SUM(D162:D163)</f>
        <v>0</v>
      </c>
      <c r="E161" s="100">
        <f>SUM(E162:E164)</f>
        <v>4685</v>
      </c>
      <c r="F161" s="100" t="s">
        <v>10</v>
      </c>
      <c r="G161" s="136">
        <f>SUM(G162:G164)</f>
        <v>4263.13</v>
      </c>
      <c r="H161" s="149">
        <f t="shared" si="24"/>
        <v>90.995304162219853</v>
      </c>
      <c r="I161" s="136">
        <f>SUM(I162:I164)</f>
        <v>4263.13</v>
      </c>
      <c r="J161" s="149">
        <f t="shared" si="20"/>
        <v>90.995304162219853</v>
      </c>
      <c r="K161" s="101"/>
      <c r="L161" s="101"/>
      <c r="M161" s="35">
        <f>SUM(M162:M163)</f>
        <v>0</v>
      </c>
      <c r="N161" s="36">
        <f>SUM(N162:N163)</f>
        <v>0</v>
      </c>
      <c r="O161" s="37">
        <f>SUM(O162:O163)</f>
        <v>0</v>
      </c>
      <c r="P161" s="27"/>
      <c r="Q161" s="27"/>
      <c r="T161" s="61"/>
      <c r="V161" s="21"/>
      <c r="W161" s="61"/>
    </row>
    <row r="162" spans="1:23">
      <c r="A162" s="13"/>
      <c r="B162" s="55" t="s">
        <v>63</v>
      </c>
      <c r="C162" s="103">
        <v>291</v>
      </c>
      <c r="D162" s="103"/>
      <c r="E162" s="103">
        <v>291</v>
      </c>
      <c r="F162" s="103"/>
      <c r="G162" s="138">
        <v>291</v>
      </c>
      <c r="H162" s="146">
        <f t="shared" si="24"/>
        <v>100</v>
      </c>
      <c r="I162" s="138">
        <v>291</v>
      </c>
      <c r="J162" s="146">
        <f t="shared" si="24"/>
        <v>100</v>
      </c>
      <c r="K162" s="106"/>
      <c r="L162" s="105"/>
      <c r="M162" s="9"/>
      <c r="N162" s="10"/>
      <c r="O162" s="8"/>
      <c r="P162" s="7"/>
      <c r="Q162" s="7"/>
      <c r="T162" s="61"/>
      <c r="V162" s="21"/>
      <c r="W162" s="61"/>
    </row>
    <row r="163" spans="1:23">
      <c r="A163" s="13"/>
      <c r="B163" s="55" t="s">
        <v>64</v>
      </c>
      <c r="C163" s="103">
        <v>3172</v>
      </c>
      <c r="D163" s="103"/>
      <c r="E163" s="103">
        <v>3172</v>
      </c>
      <c r="F163" s="100"/>
      <c r="G163" s="138">
        <v>3008.76</v>
      </c>
      <c r="H163" s="146">
        <f t="shared" si="24"/>
        <v>94.853720050441368</v>
      </c>
      <c r="I163" s="138">
        <v>3008.76</v>
      </c>
      <c r="J163" s="146">
        <f t="shared" si="20"/>
        <v>94.853720050441368</v>
      </c>
      <c r="K163" s="106"/>
      <c r="L163" s="105"/>
      <c r="M163" s="9"/>
      <c r="N163" s="10"/>
      <c r="O163" s="8"/>
      <c r="P163" s="7"/>
      <c r="Q163" s="7"/>
      <c r="T163" s="61"/>
      <c r="V163" s="21"/>
      <c r="W163" s="61"/>
    </row>
    <row r="164" spans="1:23">
      <c r="A164" s="45"/>
      <c r="B164" s="56" t="s">
        <v>65</v>
      </c>
      <c r="C164" s="103">
        <f>E164</f>
        <v>1222</v>
      </c>
      <c r="D164" s="103"/>
      <c r="E164" s="103">
        <v>1222</v>
      </c>
      <c r="F164" s="100"/>
      <c r="G164" s="138">
        <v>963.37</v>
      </c>
      <c r="H164" s="146">
        <f t="shared" si="24"/>
        <v>78.835515548281506</v>
      </c>
      <c r="I164" s="138">
        <v>963.37</v>
      </c>
      <c r="J164" s="146">
        <f t="shared" si="20"/>
        <v>78.835515548281506</v>
      </c>
      <c r="K164" s="106"/>
      <c r="L164" s="105"/>
      <c r="M164" s="9"/>
      <c r="N164" s="10"/>
      <c r="O164" s="8"/>
      <c r="P164" s="7"/>
      <c r="Q164" s="7"/>
      <c r="T164" s="61"/>
      <c r="V164" s="21"/>
      <c r="W164" s="61"/>
    </row>
    <row r="165" spans="1:23">
      <c r="A165" s="45"/>
      <c r="B165" s="99" t="s">
        <v>66</v>
      </c>
      <c r="C165" s="100">
        <f>SUM(C166:C168)</f>
        <v>16345</v>
      </c>
      <c r="D165" s="103"/>
      <c r="E165" s="100"/>
      <c r="F165" s="100">
        <f>SUM(F166:F168)</f>
        <v>16345</v>
      </c>
      <c r="G165" s="136">
        <f>SUM(G166:G168)</f>
        <v>16157.08</v>
      </c>
      <c r="H165" s="146">
        <f>G165/C165*100</f>
        <v>98.85029060874885</v>
      </c>
      <c r="I165" s="136"/>
      <c r="J165" s="146"/>
      <c r="K165" s="136">
        <f>SUM(K166:K168)</f>
        <v>16157.08</v>
      </c>
      <c r="L165" s="149">
        <f>K165/F165*100</f>
        <v>98.85029060874885</v>
      </c>
      <c r="M165" s="9"/>
      <c r="N165" s="10"/>
      <c r="O165" s="8"/>
      <c r="P165" s="7"/>
      <c r="Q165" s="7"/>
      <c r="T165" s="61"/>
      <c r="V165" s="21"/>
      <c r="W165" s="61"/>
    </row>
    <row r="166" spans="1:23">
      <c r="A166" s="45"/>
      <c r="B166" s="126" t="s">
        <v>137</v>
      </c>
      <c r="C166" s="103">
        <v>1000</v>
      </c>
      <c r="D166" s="103"/>
      <c r="E166" s="103"/>
      <c r="F166" s="103">
        <v>1000</v>
      </c>
      <c r="G166" s="138">
        <v>1000</v>
      </c>
      <c r="H166" s="146">
        <f t="shared" ref="H166:H168" si="30">G166/C166*100</f>
        <v>100</v>
      </c>
      <c r="I166" s="139"/>
      <c r="J166" s="146"/>
      <c r="K166" s="138">
        <v>1000</v>
      </c>
      <c r="L166" s="146">
        <f t="shared" ref="L166:L167" si="31">K166/G166*100</f>
        <v>100</v>
      </c>
      <c r="M166" s="9"/>
      <c r="N166" s="10"/>
      <c r="O166" s="8"/>
      <c r="P166" s="7"/>
      <c r="Q166" s="7"/>
      <c r="T166" s="61"/>
      <c r="V166" s="21"/>
      <c r="W166" s="61"/>
    </row>
    <row r="167" spans="1:23">
      <c r="A167" s="45"/>
      <c r="B167" s="126" t="s">
        <v>143</v>
      </c>
      <c r="C167" s="103">
        <v>4945</v>
      </c>
      <c r="D167" s="103"/>
      <c r="E167" s="103"/>
      <c r="F167" s="103">
        <v>4945</v>
      </c>
      <c r="G167" s="138">
        <v>4945</v>
      </c>
      <c r="H167" s="146">
        <f t="shared" si="30"/>
        <v>100</v>
      </c>
      <c r="I167" s="139"/>
      <c r="J167" s="146"/>
      <c r="K167" s="138">
        <v>4945</v>
      </c>
      <c r="L167" s="146">
        <f t="shared" si="31"/>
        <v>100</v>
      </c>
      <c r="M167" s="9"/>
      <c r="N167" s="10"/>
      <c r="O167" s="8"/>
      <c r="P167" s="7"/>
      <c r="Q167" s="7"/>
      <c r="T167" s="61"/>
      <c r="V167" s="21"/>
      <c r="W167" s="61"/>
    </row>
    <row r="168" spans="1:23">
      <c r="A168" s="45"/>
      <c r="B168" s="56" t="s">
        <v>67</v>
      </c>
      <c r="C168" s="103">
        <v>10400</v>
      </c>
      <c r="D168" s="103"/>
      <c r="E168" s="103"/>
      <c r="F168" s="103">
        <v>10400</v>
      </c>
      <c r="G168" s="138">
        <v>10212.08</v>
      </c>
      <c r="H168" s="146">
        <f t="shared" si="30"/>
        <v>98.19307692307693</v>
      </c>
      <c r="I168" s="139"/>
      <c r="J168" s="146"/>
      <c r="K168" s="138">
        <v>10212.08</v>
      </c>
      <c r="L168" s="146">
        <f>K168/F168*100</f>
        <v>98.19307692307693</v>
      </c>
      <c r="M168" s="9"/>
      <c r="N168" s="10"/>
      <c r="O168" s="8"/>
      <c r="P168" s="7"/>
      <c r="Q168" s="7"/>
      <c r="T168" s="61"/>
      <c r="V168" s="21"/>
      <c r="W168" s="61"/>
    </row>
    <row r="169" spans="1:23">
      <c r="A169" s="52"/>
      <c r="B169" s="97" t="s">
        <v>144</v>
      </c>
      <c r="C169" s="109">
        <v>200</v>
      </c>
      <c r="D169" s="109" t="e">
        <f>D170+D171</f>
        <v>#REF!</v>
      </c>
      <c r="E169" s="109">
        <v>200</v>
      </c>
      <c r="F169" s="109"/>
      <c r="G169" s="140">
        <v>200</v>
      </c>
      <c r="H169" s="135">
        <f>G169/C169*100</f>
        <v>100</v>
      </c>
      <c r="I169" s="140">
        <v>200</v>
      </c>
      <c r="J169" s="135">
        <f>I169/E169*100</f>
        <v>100</v>
      </c>
      <c r="K169" s="109"/>
      <c r="L169" s="109"/>
      <c r="M169" s="77" t="e">
        <f>M170+M171</f>
        <v>#REF!</v>
      </c>
      <c r="N169" s="77" t="e">
        <f>N170+N171</f>
        <v>#REF!</v>
      </c>
      <c r="O169" s="77" t="e">
        <f>O170+O171</f>
        <v>#REF!</v>
      </c>
      <c r="P169" s="77">
        <f>P170+P171</f>
        <v>0</v>
      </c>
      <c r="Q169" s="77">
        <f>Q170+Q171</f>
        <v>0</v>
      </c>
    </row>
    <row r="170" spans="1:23" s="29" customFormat="1">
      <c r="A170" s="26"/>
      <c r="B170" s="126" t="s">
        <v>140</v>
      </c>
      <c r="C170" s="103">
        <v>200</v>
      </c>
      <c r="D170" s="103" t="e">
        <f>SUM(#REF!)</f>
        <v>#REF!</v>
      </c>
      <c r="E170" s="103">
        <v>200</v>
      </c>
      <c r="F170" s="100"/>
      <c r="G170" s="137">
        <v>200</v>
      </c>
      <c r="H170" s="146">
        <f t="shared" ref="H170:J170" si="32">G170/C170*100</f>
        <v>100</v>
      </c>
      <c r="I170" s="137">
        <v>200</v>
      </c>
      <c r="J170" s="146">
        <f t="shared" si="32"/>
        <v>100</v>
      </c>
      <c r="K170" s="101"/>
      <c r="L170" s="101"/>
      <c r="M170" s="23" t="e">
        <f>SUM(#REF!)</f>
        <v>#REF!</v>
      </c>
      <c r="N170" s="24" t="e">
        <f>SUM(#REF!)</f>
        <v>#REF!</v>
      </c>
      <c r="O170" s="25" t="e">
        <f>SUM(#REF!)</f>
        <v>#REF!</v>
      </c>
      <c r="P170" s="27"/>
      <c r="Q170" s="27"/>
    </row>
    <row r="171" spans="1:23">
      <c r="A171" s="52"/>
      <c r="B171" s="97" t="s">
        <v>78</v>
      </c>
      <c r="C171" s="109">
        <f>C172+C174</f>
        <v>8190</v>
      </c>
      <c r="D171" s="109">
        <f>D172+D174</f>
        <v>0</v>
      </c>
      <c r="E171" s="109">
        <f>E172+E174</f>
        <v>8190</v>
      </c>
      <c r="F171" s="109"/>
      <c r="G171" s="140">
        <f>+G172+G174</f>
        <v>8190</v>
      </c>
      <c r="H171" s="135">
        <f>G171/C171*100</f>
        <v>100</v>
      </c>
      <c r="I171" s="140">
        <f>+I172+I174</f>
        <v>8190</v>
      </c>
      <c r="J171" s="135">
        <f>I171/E171*100</f>
        <v>100</v>
      </c>
      <c r="K171" s="109"/>
      <c r="L171" s="109"/>
      <c r="M171" s="77" t="e">
        <f t="shared" ref="M171:Q171" si="33">M172+M174</f>
        <v>#REF!</v>
      </c>
      <c r="N171" s="77" t="e">
        <f t="shared" si="33"/>
        <v>#REF!</v>
      </c>
      <c r="O171" s="77" t="e">
        <f t="shared" si="33"/>
        <v>#REF!</v>
      </c>
      <c r="P171" s="77">
        <f t="shared" si="33"/>
        <v>0</v>
      </c>
      <c r="Q171" s="77">
        <f t="shared" si="33"/>
        <v>0</v>
      </c>
    </row>
    <row r="172" spans="1:23" s="29" customFormat="1">
      <c r="A172" s="26"/>
      <c r="B172" s="99" t="s">
        <v>25</v>
      </c>
      <c r="C172" s="100">
        <f>SUM(C173:C173)</f>
        <v>6069</v>
      </c>
      <c r="D172" s="100">
        <f>SUM(D173:D173)</f>
        <v>0</v>
      </c>
      <c r="E172" s="100">
        <f>SUM(E173:E173)</f>
        <v>6069</v>
      </c>
      <c r="F172" s="100"/>
      <c r="G172" s="136">
        <f>SUM(G173)</f>
        <v>6069</v>
      </c>
      <c r="H172" s="149">
        <f t="shared" ref="H172:H175" si="34">G172/C172*100</f>
        <v>100</v>
      </c>
      <c r="I172" s="136">
        <f>SUM(I173)</f>
        <v>6069</v>
      </c>
      <c r="J172" s="149">
        <f t="shared" ref="J172:J238" si="35">I172/E172*100</f>
        <v>100</v>
      </c>
      <c r="K172" s="101"/>
      <c r="L172" s="101"/>
      <c r="M172" s="23">
        <f>SUM(M173:M173)</f>
        <v>0</v>
      </c>
      <c r="N172" s="24">
        <f>SUM(N173:N173)</f>
        <v>0</v>
      </c>
      <c r="O172" s="25">
        <f>SUM(O173:O173)</f>
        <v>0</v>
      </c>
      <c r="P172" s="27"/>
      <c r="Q172" s="27"/>
    </row>
    <row r="173" spans="1:23">
      <c r="A173" s="26"/>
      <c r="B173" s="55" t="s">
        <v>12</v>
      </c>
      <c r="C173" s="103">
        <f>E173</f>
        <v>6069</v>
      </c>
      <c r="D173" s="103"/>
      <c r="E173" s="103">
        <v>6069</v>
      </c>
      <c r="F173" s="103"/>
      <c r="G173" s="137">
        <v>6069</v>
      </c>
      <c r="H173" s="146">
        <f t="shared" si="34"/>
        <v>100</v>
      </c>
      <c r="I173" s="137">
        <v>6069</v>
      </c>
      <c r="J173" s="146">
        <f t="shared" si="35"/>
        <v>100</v>
      </c>
      <c r="K173" s="105"/>
      <c r="L173" s="105"/>
      <c r="M173" s="9"/>
      <c r="N173" s="10"/>
      <c r="O173" s="11"/>
      <c r="P173" s="7"/>
      <c r="Q173" s="7"/>
    </row>
    <row r="174" spans="1:23" s="29" customFormat="1">
      <c r="A174" s="26"/>
      <c r="B174" s="99" t="s">
        <v>26</v>
      </c>
      <c r="C174" s="100">
        <f>SUM(C175:C175)</f>
        <v>2121</v>
      </c>
      <c r="D174" s="100">
        <f>SUM(D175:D175)</f>
        <v>0</v>
      </c>
      <c r="E174" s="100">
        <f>SUM(E175:E175)</f>
        <v>2121</v>
      </c>
      <c r="F174" s="100"/>
      <c r="G174" s="136">
        <f>SUM(G175)</f>
        <v>2121</v>
      </c>
      <c r="H174" s="149">
        <f t="shared" si="34"/>
        <v>100</v>
      </c>
      <c r="I174" s="136">
        <f>SUM(I175)</f>
        <v>2121</v>
      </c>
      <c r="J174" s="149">
        <f t="shared" si="35"/>
        <v>100</v>
      </c>
      <c r="K174" s="101"/>
      <c r="L174" s="101"/>
      <c r="M174" s="23" t="e">
        <f>SUM(#REF!)</f>
        <v>#REF!</v>
      </c>
      <c r="N174" s="24" t="e">
        <f>SUM(#REF!)</f>
        <v>#REF!</v>
      </c>
      <c r="O174" s="25" t="e">
        <f>SUM(#REF!)</f>
        <v>#REF!</v>
      </c>
      <c r="P174" s="27"/>
      <c r="Q174" s="27"/>
    </row>
    <row r="175" spans="1:23">
      <c r="A175" s="13"/>
      <c r="B175" s="102" t="s">
        <v>122</v>
      </c>
      <c r="C175" s="103">
        <v>2121</v>
      </c>
      <c r="D175" s="100"/>
      <c r="E175" s="103">
        <v>2121</v>
      </c>
      <c r="F175" s="103"/>
      <c r="G175" s="137">
        <v>2121</v>
      </c>
      <c r="H175" s="146">
        <f t="shared" si="34"/>
        <v>100</v>
      </c>
      <c r="I175" s="137">
        <v>2121</v>
      </c>
      <c r="J175" s="146">
        <f t="shared" si="35"/>
        <v>100</v>
      </c>
      <c r="K175" s="105"/>
      <c r="L175" s="105"/>
      <c r="M175" s="23"/>
      <c r="N175" s="24"/>
      <c r="O175" s="25"/>
      <c r="P175" s="7"/>
      <c r="Q175" s="7"/>
    </row>
    <row r="176" spans="1:23">
      <c r="A176" s="26"/>
      <c r="B176" s="97" t="s">
        <v>79</v>
      </c>
      <c r="C176" s="109">
        <f>C177+C179+C181</f>
        <v>5319</v>
      </c>
      <c r="D176" s="109" t="e">
        <f>D177+D179+D181+#REF!+#REF!+#REF!</f>
        <v>#REF!</v>
      </c>
      <c r="E176" s="109">
        <f>E177+E179+E181</f>
        <v>5319</v>
      </c>
      <c r="F176" s="109" t="s">
        <v>10</v>
      </c>
      <c r="G176" s="140">
        <f>+G177+G179+G181</f>
        <v>6907.62</v>
      </c>
      <c r="H176" s="140">
        <v>49.64</v>
      </c>
      <c r="I176" s="140">
        <f>+I177+I179+I181</f>
        <v>6907.62</v>
      </c>
      <c r="J176" s="135">
        <f>I176/E176*100</f>
        <v>129.86689227298365</v>
      </c>
      <c r="K176" s="109"/>
      <c r="L176" s="109"/>
      <c r="M176" s="77" t="e">
        <f>M177+M179+M181+#REF!+#REF!+#REF!</f>
        <v>#REF!</v>
      </c>
      <c r="N176" s="77" t="e">
        <f>N177+N179+N181+#REF!+#REF!+#REF!</f>
        <v>#REF!</v>
      </c>
      <c r="O176" s="77" t="e">
        <f>O177+O179+O181+#REF!+#REF!+#REF!</f>
        <v>#REF!</v>
      </c>
      <c r="P176" s="77" t="e">
        <f>P177+P179+P181+#REF!+#REF!+#REF!</f>
        <v>#REF!</v>
      </c>
      <c r="Q176" s="77" t="e">
        <f>Q177+Q179+Q181+#REF!+#REF!+#REF!</f>
        <v>#REF!</v>
      </c>
      <c r="T176" s="62"/>
    </row>
    <row r="177" spans="1:23" s="29" customFormat="1">
      <c r="A177" s="26"/>
      <c r="B177" s="99" t="s">
        <v>25</v>
      </c>
      <c r="C177" s="100">
        <f>SUM(C178:C178)</f>
        <v>3000</v>
      </c>
      <c r="D177" s="100">
        <f>SUM(D178:D178)</f>
        <v>0</v>
      </c>
      <c r="E177" s="100">
        <f>SUM(E178:E178)</f>
        <v>3000</v>
      </c>
      <c r="F177" s="100"/>
      <c r="G177" s="136">
        <f>SUM(G178)</f>
        <v>4642.26</v>
      </c>
      <c r="H177" s="149">
        <f t="shared" ref="H177:H182" si="36">G177/C177*100</f>
        <v>154.74199999999999</v>
      </c>
      <c r="I177" s="136">
        <f>SUM(I178)</f>
        <v>4642.26</v>
      </c>
      <c r="J177" s="149">
        <f t="shared" si="35"/>
        <v>154.74199999999999</v>
      </c>
      <c r="K177" s="101"/>
      <c r="L177" s="101"/>
      <c r="M177" s="23">
        <f>SUM(M178:M178)</f>
        <v>0</v>
      </c>
      <c r="N177" s="24">
        <f>SUM(N178:N178)</f>
        <v>0</v>
      </c>
      <c r="O177" s="25">
        <f>SUM(O178:O178)</f>
        <v>0</v>
      </c>
      <c r="P177" s="27"/>
      <c r="Q177" s="27"/>
      <c r="T177" s="62"/>
      <c r="W177" s="62"/>
    </row>
    <row r="178" spans="1:23">
      <c r="A178" s="26"/>
      <c r="B178" s="55" t="s">
        <v>68</v>
      </c>
      <c r="C178" s="103">
        <f>E178</f>
        <v>3000</v>
      </c>
      <c r="D178" s="103"/>
      <c r="E178" s="103">
        <v>3000</v>
      </c>
      <c r="F178" s="103"/>
      <c r="G178" s="137">
        <v>4642.26</v>
      </c>
      <c r="H178" s="146">
        <f t="shared" si="36"/>
        <v>154.74199999999999</v>
      </c>
      <c r="I178" s="137">
        <v>4642.26</v>
      </c>
      <c r="J178" s="146">
        <f t="shared" si="35"/>
        <v>154.74199999999999</v>
      </c>
      <c r="K178" s="105"/>
      <c r="L178" s="105"/>
      <c r="M178" s="9"/>
      <c r="N178" s="10"/>
      <c r="O178" s="11"/>
      <c r="P178" s="7"/>
      <c r="Q178" s="7"/>
      <c r="T178" s="62"/>
      <c r="V178" s="29"/>
      <c r="W178" s="62"/>
    </row>
    <row r="179" spans="1:23" s="29" customFormat="1">
      <c r="A179" s="26"/>
      <c r="B179" s="99" t="s">
        <v>26</v>
      </c>
      <c r="C179" s="100">
        <f>SUM(C180:C180)</f>
        <v>1048</v>
      </c>
      <c r="D179" s="100">
        <f>SUM(D180:D180)</f>
        <v>0</v>
      </c>
      <c r="E179" s="100">
        <f>SUM(E180:E180)</f>
        <v>1048</v>
      </c>
      <c r="F179" s="100"/>
      <c r="G179" s="136">
        <f>SUM(G180)</f>
        <v>1622.46</v>
      </c>
      <c r="H179" s="149">
        <f t="shared" si="36"/>
        <v>154.81488549618319</v>
      </c>
      <c r="I179" s="136">
        <f>SUM(I180)</f>
        <v>1622.46</v>
      </c>
      <c r="J179" s="149">
        <f t="shared" si="35"/>
        <v>154.81488549618319</v>
      </c>
      <c r="K179" s="101"/>
      <c r="L179" s="101"/>
      <c r="M179" s="23" t="e">
        <f>SUM(#REF!)</f>
        <v>#REF!</v>
      </c>
      <c r="N179" s="24" t="e">
        <f>SUM(#REF!)</f>
        <v>#REF!</v>
      </c>
      <c r="O179" s="25" t="e">
        <f>SUM(#REF!)</f>
        <v>#REF!</v>
      </c>
      <c r="P179" s="27"/>
      <c r="Q179" s="27"/>
      <c r="T179" s="62"/>
      <c r="W179" s="62"/>
    </row>
    <row r="180" spans="1:23" ht="15" customHeight="1">
      <c r="A180" s="26"/>
      <c r="B180" s="102" t="s">
        <v>122</v>
      </c>
      <c r="C180" s="103">
        <v>1048</v>
      </c>
      <c r="D180" s="103"/>
      <c r="E180" s="103">
        <v>1048</v>
      </c>
      <c r="F180" s="103"/>
      <c r="G180" s="137">
        <v>1622.46</v>
      </c>
      <c r="H180" s="146">
        <f t="shared" si="36"/>
        <v>154.81488549618319</v>
      </c>
      <c r="I180" s="137">
        <v>1622.46</v>
      </c>
      <c r="J180" s="146">
        <f t="shared" si="35"/>
        <v>154.81488549618319</v>
      </c>
      <c r="K180" s="101"/>
      <c r="L180" s="105"/>
      <c r="M180" s="23"/>
      <c r="N180" s="24"/>
      <c r="O180" s="25"/>
      <c r="P180" s="7"/>
      <c r="Q180" s="7"/>
      <c r="T180" s="62"/>
      <c r="V180" s="29"/>
      <c r="W180" s="62"/>
    </row>
    <row r="181" spans="1:23" s="29" customFormat="1" ht="14.4" customHeight="1">
      <c r="A181" s="26"/>
      <c r="B181" s="99" t="s">
        <v>18</v>
      </c>
      <c r="C181" s="100">
        <f>SUM(C182:C182)</f>
        <v>1271</v>
      </c>
      <c r="D181" s="100" t="e">
        <f>#REF!+D182</f>
        <v>#REF!</v>
      </c>
      <c r="E181" s="100">
        <f>SUM(E182:E182)</f>
        <v>1271</v>
      </c>
      <c r="F181" s="100" t="s">
        <v>10</v>
      </c>
      <c r="G181" s="136">
        <f>SUM(G182)</f>
        <v>642.9</v>
      </c>
      <c r="H181" s="149">
        <f t="shared" si="36"/>
        <v>50.582218725413064</v>
      </c>
      <c r="I181" s="136">
        <f>SUM(I182)</f>
        <v>642.9</v>
      </c>
      <c r="J181" s="149">
        <f t="shared" si="35"/>
        <v>50.582218725413064</v>
      </c>
      <c r="K181" s="101"/>
      <c r="L181" s="101"/>
      <c r="M181" s="23" t="e">
        <f>SUM(#REF!,#REF!,M182,#REF!,#REF!)</f>
        <v>#REF!</v>
      </c>
      <c r="N181" s="24" t="e">
        <f>SUM(#REF!,#REF!,N182,#REF!,#REF!)</f>
        <v>#REF!</v>
      </c>
      <c r="O181" s="24" t="e">
        <f>SUM(#REF!,#REF!,O182,#REF!,#REF!)</f>
        <v>#REF!</v>
      </c>
      <c r="P181" s="24" t="e">
        <f>SUM(#REF!,#REF!,P182,#REF!,#REF!)</f>
        <v>#REF!</v>
      </c>
      <c r="Q181" s="24" t="e">
        <f>SUM(#REF!,#REF!,Q182,#REF!,#REF!)</f>
        <v>#REF!</v>
      </c>
      <c r="T181" s="62"/>
      <c r="W181" s="62"/>
    </row>
    <row r="182" spans="1:23" ht="16.2" customHeight="1">
      <c r="A182" s="26"/>
      <c r="B182" s="55" t="s">
        <v>69</v>
      </c>
      <c r="C182" s="103">
        <v>1271</v>
      </c>
      <c r="D182" s="103"/>
      <c r="E182" s="103">
        <v>1271</v>
      </c>
      <c r="F182" s="103"/>
      <c r="G182" s="137">
        <v>642.9</v>
      </c>
      <c r="H182" s="146">
        <f t="shared" si="36"/>
        <v>50.582218725413064</v>
      </c>
      <c r="I182" s="137">
        <v>642.9</v>
      </c>
      <c r="J182" s="146">
        <f t="shared" si="35"/>
        <v>50.582218725413064</v>
      </c>
      <c r="K182" s="105"/>
      <c r="L182" s="105"/>
      <c r="M182" s="9"/>
      <c r="N182" s="10"/>
      <c r="O182" s="11"/>
      <c r="P182" s="7"/>
      <c r="Q182" s="7"/>
      <c r="T182" s="62"/>
      <c r="V182" s="29"/>
      <c r="W182" s="62"/>
    </row>
    <row r="183" spans="1:23" ht="16.2" customHeight="1">
      <c r="A183" s="26"/>
      <c r="B183" s="97" t="s">
        <v>80</v>
      </c>
      <c r="C183" s="109">
        <f>E183</f>
        <v>707</v>
      </c>
      <c r="D183" s="109" t="e">
        <f>#REF!+#REF!+#REF!+#REF!+#REF!+#REF!+#REF!+#REF!</f>
        <v>#REF!</v>
      </c>
      <c r="E183" s="109">
        <f>E184</f>
        <v>707</v>
      </c>
      <c r="F183" s="109" t="s">
        <v>10</v>
      </c>
      <c r="G183" s="140">
        <f>+G184</f>
        <v>705.01</v>
      </c>
      <c r="H183" s="135">
        <f>G183/C183*100</f>
        <v>99.718528995756714</v>
      </c>
      <c r="I183" s="140">
        <f>+I184</f>
        <v>705.01</v>
      </c>
      <c r="J183" s="135">
        <f>I183/E183*100</f>
        <v>99.718528995756714</v>
      </c>
      <c r="K183" s="109"/>
      <c r="L183" s="109"/>
      <c r="M183" s="77">
        <f t="shared" ref="M183:Q183" si="37">SUM(M184:M184)</f>
        <v>0</v>
      </c>
      <c r="N183" s="77">
        <f t="shared" si="37"/>
        <v>0</v>
      </c>
      <c r="O183" s="77">
        <f t="shared" si="37"/>
        <v>0</v>
      </c>
      <c r="P183" s="77">
        <f t="shared" si="37"/>
        <v>0</v>
      </c>
      <c r="Q183" s="77">
        <f t="shared" si="37"/>
        <v>0</v>
      </c>
      <c r="T183" s="62"/>
    </row>
    <row r="184" spans="1:23" ht="16.2" customHeight="1">
      <c r="A184" s="53"/>
      <c r="B184" s="55" t="s">
        <v>70</v>
      </c>
      <c r="C184" s="103">
        <v>707</v>
      </c>
      <c r="D184" s="103"/>
      <c r="E184" s="103">
        <v>707</v>
      </c>
      <c r="F184" s="103"/>
      <c r="G184" s="138">
        <v>705.01</v>
      </c>
      <c r="H184" s="146">
        <f t="shared" ref="H184" si="38">G184/C184*100</f>
        <v>99.718528995756714</v>
      </c>
      <c r="I184" s="138">
        <v>705.01</v>
      </c>
      <c r="J184" s="146">
        <f t="shared" si="35"/>
        <v>99.718528995756714</v>
      </c>
      <c r="K184" s="106"/>
      <c r="L184" s="105"/>
      <c r="M184" s="50"/>
      <c r="N184" s="51"/>
      <c r="O184" s="8"/>
      <c r="P184" s="7"/>
      <c r="Q184" s="7"/>
    </row>
    <row r="185" spans="1:23" ht="16.2" customHeight="1">
      <c r="A185" s="26"/>
      <c r="B185" s="97" t="s">
        <v>81</v>
      </c>
      <c r="C185" s="109">
        <f>C186+C188+C190+C192</f>
        <v>15250</v>
      </c>
      <c r="D185" s="109" t="e">
        <f>#REF!+#REF!+#REF!+#REF!+#REF!+#REF!+#REF!+#REF!</f>
        <v>#REF!</v>
      </c>
      <c r="E185" s="109">
        <f>E186+E188+E190+E192</f>
        <v>15250</v>
      </c>
      <c r="F185" s="109"/>
      <c r="G185" s="140">
        <f>+G186+G188+G190+G192</f>
        <v>14466.029999999999</v>
      </c>
      <c r="H185" s="135">
        <f>G185/C185*100</f>
        <v>94.859213114754098</v>
      </c>
      <c r="I185" s="140">
        <f>+I186+I188+I190+I192</f>
        <v>14466.029999999999</v>
      </c>
      <c r="J185" s="135">
        <f>I185/E185*100</f>
        <v>94.859213114754098</v>
      </c>
      <c r="K185" s="109"/>
      <c r="L185" s="109"/>
      <c r="M185" s="77" t="e">
        <f t="shared" ref="M185:Q185" si="39">SUM(M186:M186)</f>
        <v>#REF!</v>
      </c>
      <c r="N185" s="77" t="e">
        <f t="shared" si="39"/>
        <v>#REF!</v>
      </c>
      <c r="O185" s="77" t="e">
        <f t="shared" si="39"/>
        <v>#REF!</v>
      </c>
      <c r="P185" s="77">
        <f t="shared" si="39"/>
        <v>0</v>
      </c>
      <c r="Q185" s="77">
        <f t="shared" si="39"/>
        <v>0</v>
      </c>
      <c r="T185" s="62"/>
    </row>
    <row r="186" spans="1:23" ht="15" customHeight="1">
      <c r="A186" s="13"/>
      <c r="B186" s="99" t="s">
        <v>11</v>
      </c>
      <c r="C186" s="100">
        <f>SUM(C187)</f>
        <v>7595</v>
      </c>
      <c r="D186" s="100" t="e">
        <f>#REF!</f>
        <v>#REF!</v>
      </c>
      <c r="E186" s="100">
        <f>SUM(E187)</f>
        <v>7595</v>
      </c>
      <c r="F186" s="100"/>
      <c r="G186" s="136">
        <f>SUM(G187)</f>
        <v>7595</v>
      </c>
      <c r="H186" s="149">
        <f t="shared" ref="H186:H194" si="40">G186/C186*100</f>
        <v>100</v>
      </c>
      <c r="I186" s="136">
        <f>SUM(I187)</f>
        <v>7595</v>
      </c>
      <c r="J186" s="149">
        <f t="shared" ref="J186:J194" si="41">I186/E186*100</f>
        <v>100</v>
      </c>
      <c r="K186" s="110"/>
      <c r="L186" s="101"/>
      <c r="M186" s="15" t="e">
        <f>#REF!</f>
        <v>#REF!</v>
      </c>
      <c r="N186" s="16" t="e">
        <f>#REF!</f>
        <v>#REF!</v>
      </c>
      <c r="O186" s="16" t="e">
        <f>#REF!</f>
        <v>#REF!</v>
      </c>
      <c r="P186" s="7"/>
      <c r="Q186" s="7"/>
    </row>
    <row r="187" spans="1:23" s="21" customFormat="1" ht="14.4" customHeight="1">
      <c r="A187" s="12"/>
      <c r="B187" s="102" t="s">
        <v>35</v>
      </c>
      <c r="C187" s="103">
        <v>7595</v>
      </c>
      <c r="D187" s="103"/>
      <c r="E187" s="103">
        <v>7595</v>
      </c>
      <c r="F187" s="103"/>
      <c r="G187" s="141">
        <v>7595</v>
      </c>
      <c r="H187" s="146">
        <f t="shared" si="40"/>
        <v>100</v>
      </c>
      <c r="I187" s="141">
        <v>7595</v>
      </c>
      <c r="J187" s="146">
        <f t="shared" si="41"/>
        <v>100</v>
      </c>
      <c r="K187" s="104"/>
      <c r="L187" s="105"/>
      <c r="M187" s="17"/>
      <c r="N187" s="18"/>
      <c r="O187" s="19"/>
      <c r="P187" s="12"/>
      <c r="Q187" s="12"/>
      <c r="T187" s="61"/>
      <c r="W187" s="61"/>
    </row>
    <row r="188" spans="1:23" ht="13.2" customHeight="1">
      <c r="A188" s="13"/>
      <c r="B188" s="99" t="s">
        <v>37</v>
      </c>
      <c r="C188" s="100">
        <f>SUM(C189:C189)</f>
        <v>2655</v>
      </c>
      <c r="D188" s="100">
        <f>SUM(D189:D196)</f>
        <v>0</v>
      </c>
      <c r="E188" s="100">
        <f>SUM(E189:E189)</f>
        <v>2655</v>
      </c>
      <c r="F188" s="103"/>
      <c r="G188" s="136">
        <f t="shared" ref="G188:I190" si="42">SUM(G189)</f>
        <v>2654</v>
      </c>
      <c r="H188" s="149">
        <f t="shared" si="40"/>
        <v>99.962335216572512</v>
      </c>
      <c r="I188" s="136">
        <f t="shared" ref="I188" si="43">SUM(I189)</f>
        <v>2654</v>
      </c>
      <c r="J188" s="149">
        <f t="shared" si="41"/>
        <v>99.962335216572512</v>
      </c>
      <c r="K188" s="110"/>
      <c r="L188" s="101"/>
      <c r="M188" s="15"/>
      <c r="N188" s="16"/>
      <c r="O188" s="22"/>
      <c r="P188" s="7"/>
      <c r="Q188" s="7"/>
      <c r="T188" s="61"/>
      <c r="V188" s="21"/>
      <c r="W188" s="61"/>
    </row>
    <row r="189" spans="1:23" s="21" customFormat="1">
      <c r="A189" s="12"/>
      <c r="B189" s="102" t="s">
        <v>122</v>
      </c>
      <c r="C189" s="103">
        <v>2655</v>
      </c>
      <c r="D189" s="103"/>
      <c r="E189" s="103">
        <v>2655</v>
      </c>
      <c r="F189" s="103"/>
      <c r="G189" s="137">
        <v>2654</v>
      </c>
      <c r="H189" s="146">
        <f t="shared" si="40"/>
        <v>99.962335216572512</v>
      </c>
      <c r="I189" s="137">
        <v>2654</v>
      </c>
      <c r="J189" s="146">
        <f t="shared" si="41"/>
        <v>99.962335216572512</v>
      </c>
      <c r="K189" s="104"/>
      <c r="L189" s="105"/>
      <c r="M189" s="17"/>
      <c r="N189" s="18"/>
      <c r="O189" s="19"/>
      <c r="P189" s="12"/>
      <c r="Q189" s="12"/>
      <c r="T189" s="61"/>
      <c r="W189" s="61"/>
    </row>
    <row r="190" spans="1:23" s="21" customFormat="1">
      <c r="A190" s="152"/>
      <c r="B190" s="99" t="s">
        <v>16</v>
      </c>
      <c r="C190" s="100">
        <f>SUM(C191:C191)</f>
        <v>4171</v>
      </c>
      <c r="D190" s="103"/>
      <c r="E190" s="100">
        <f>SUM(E191:E191)</f>
        <v>4171</v>
      </c>
      <c r="F190" s="103"/>
      <c r="G190" s="136">
        <f t="shared" si="42"/>
        <v>4171.1899999999996</v>
      </c>
      <c r="H190" s="149">
        <f t="shared" si="40"/>
        <v>100.00455526252696</v>
      </c>
      <c r="I190" s="136">
        <f t="shared" si="42"/>
        <v>4171.1899999999996</v>
      </c>
      <c r="J190" s="149">
        <f t="shared" si="41"/>
        <v>100.00455526252696</v>
      </c>
      <c r="K190" s="111"/>
      <c r="L190" s="105"/>
      <c r="M190" s="17"/>
      <c r="N190" s="18"/>
      <c r="O190" s="19"/>
      <c r="P190" s="12"/>
      <c r="Q190" s="12"/>
      <c r="T190" s="61"/>
      <c r="W190" s="61"/>
    </row>
    <row r="191" spans="1:23" s="21" customFormat="1">
      <c r="A191" s="152"/>
      <c r="B191" s="55" t="s">
        <v>158</v>
      </c>
      <c r="C191" s="103">
        <v>4171</v>
      </c>
      <c r="D191" s="103"/>
      <c r="E191" s="103">
        <v>4171</v>
      </c>
      <c r="F191" s="103"/>
      <c r="G191" s="137">
        <v>4171.1899999999996</v>
      </c>
      <c r="H191" s="146">
        <f t="shared" si="40"/>
        <v>100.00455526252696</v>
      </c>
      <c r="I191" s="137">
        <v>4171.1899999999996</v>
      </c>
      <c r="J191" s="146">
        <f t="shared" si="41"/>
        <v>100.00455526252696</v>
      </c>
      <c r="K191" s="111"/>
      <c r="L191" s="105"/>
      <c r="M191" s="17"/>
      <c r="N191" s="18"/>
      <c r="O191" s="19"/>
      <c r="P191" s="12"/>
      <c r="Q191" s="12"/>
      <c r="T191" s="61"/>
      <c r="W191" s="61"/>
    </row>
    <row r="192" spans="1:23" s="21" customFormat="1">
      <c r="A192" s="152"/>
      <c r="B192" s="99" t="s">
        <v>18</v>
      </c>
      <c r="C192" s="100">
        <f>SUM(C193:C194)</f>
        <v>829</v>
      </c>
      <c r="D192" s="103"/>
      <c r="E192" s="100">
        <f>SUM(E193:E194)</f>
        <v>829</v>
      </c>
      <c r="F192" s="103"/>
      <c r="G192" s="136">
        <f>SUM(G193+G194)</f>
        <v>45.84</v>
      </c>
      <c r="H192" s="149">
        <f t="shared" si="40"/>
        <v>5.5295536791314843</v>
      </c>
      <c r="I192" s="136">
        <f>SUM(I193+I194)</f>
        <v>45.84</v>
      </c>
      <c r="J192" s="149">
        <f t="shared" si="41"/>
        <v>5.5295536791314843</v>
      </c>
      <c r="K192" s="111"/>
      <c r="L192" s="105"/>
      <c r="M192" s="17"/>
      <c r="N192" s="18"/>
      <c r="O192" s="19"/>
      <c r="P192" s="12"/>
      <c r="Q192" s="12"/>
      <c r="T192" s="61"/>
      <c r="W192" s="61"/>
    </row>
    <row r="193" spans="1:23" s="21" customFormat="1">
      <c r="A193" s="152"/>
      <c r="B193" s="55" t="s">
        <v>151</v>
      </c>
      <c r="C193" s="103">
        <v>750</v>
      </c>
      <c r="D193" s="103"/>
      <c r="E193" s="103">
        <v>750</v>
      </c>
      <c r="F193" s="103"/>
      <c r="G193" s="137"/>
      <c r="H193" s="146"/>
      <c r="I193" s="137"/>
      <c r="J193" s="146"/>
      <c r="K193" s="111"/>
      <c r="L193" s="105"/>
      <c r="M193" s="17"/>
      <c r="N193" s="18"/>
      <c r="O193" s="19"/>
      <c r="P193" s="12"/>
      <c r="Q193" s="12"/>
      <c r="T193" s="61"/>
      <c r="W193" s="61"/>
    </row>
    <row r="194" spans="1:23">
      <c r="A194" s="53"/>
      <c r="B194" s="56" t="s">
        <v>152</v>
      </c>
      <c r="C194" s="103">
        <v>79</v>
      </c>
      <c r="D194" s="103"/>
      <c r="E194" s="103">
        <v>79</v>
      </c>
      <c r="F194" s="103"/>
      <c r="G194" s="137">
        <v>45.84</v>
      </c>
      <c r="H194" s="146">
        <f t="shared" si="40"/>
        <v>58.025316455696206</v>
      </c>
      <c r="I194" s="137">
        <v>45.84</v>
      </c>
      <c r="J194" s="146">
        <f t="shared" si="41"/>
        <v>58.025316455696206</v>
      </c>
      <c r="K194" s="106"/>
      <c r="L194" s="105"/>
      <c r="M194" s="50"/>
      <c r="N194" s="51"/>
      <c r="O194" s="8"/>
      <c r="P194" s="7"/>
      <c r="Q194" s="7"/>
    </row>
    <row r="195" spans="1:23">
      <c r="A195" s="26"/>
      <c r="B195" s="97" t="s">
        <v>82</v>
      </c>
      <c r="C195" s="109">
        <f>C196+C198+C200+C205+C208+C210</f>
        <v>17500</v>
      </c>
      <c r="D195" s="109">
        <f>D196+D198+D205+D208+D210</f>
        <v>0</v>
      </c>
      <c r="E195" s="109">
        <f>E196+E198+E200+E205+E208+E210</f>
        <v>17500</v>
      </c>
      <c r="F195" s="109" t="s">
        <v>10</v>
      </c>
      <c r="G195" s="140">
        <f>+G196+G198+G200+G205+G208+G210</f>
        <v>17351.510000000002</v>
      </c>
      <c r="H195" s="135">
        <f>G195/C195*100</f>
        <v>99.151485714285727</v>
      </c>
      <c r="I195" s="140">
        <f>+I196+I198+I200+I205+I208+I210</f>
        <v>17351.510000000002</v>
      </c>
      <c r="J195" s="135">
        <f>I195/E195*100</f>
        <v>99.151485714285727</v>
      </c>
      <c r="K195" s="109"/>
      <c r="L195" s="109"/>
      <c r="M195" s="77" t="e">
        <f>M196+M198+M205+M208+M210</f>
        <v>#REF!</v>
      </c>
      <c r="N195" s="77" t="e">
        <f>N196+N198+N205+N208+N210</f>
        <v>#REF!</v>
      </c>
      <c r="O195" s="77" t="e">
        <f>O196+O198+O205+O208+O210</f>
        <v>#REF!</v>
      </c>
      <c r="P195" s="77" t="e">
        <f>P196+P198+P205+P208+P210</f>
        <v>#REF!</v>
      </c>
      <c r="Q195" s="77" t="e">
        <f>Q196+Q198+Q205+Q208+Q210</f>
        <v>#REF!</v>
      </c>
      <c r="T195" s="62"/>
    </row>
    <row r="196" spans="1:23" s="29" customFormat="1">
      <c r="A196" s="26"/>
      <c r="B196" s="99" t="s">
        <v>25</v>
      </c>
      <c r="C196" s="100">
        <f>SUM(C197:C197)</f>
        <v>5425</v>
      </c>
      <c r="D196" s="100"/>
      <c r="E196" s="100">
        <f>SUM(E197:E197)</f>
        <v>5425</v>
      </c>
      <c r="F196" s="100"/>
      <c r="G196" s="136">
        <f>SUM(G197)</f>
        <v>5032.22</v>
      </c>
      <c r="H196" s="149">
        <f t="shared" ref="H196:H214" si="44">G196/C196*100</f>
        <v>92.759815668202776</v>
      </c>
      <c r="I196" s="136">
        <f>SUM(I197)</f>
        <v>5032.22</v>
      </c>
      <c r="J196" s="149">
        <f t="shared" si="35"/>
        <v>92.759815668202776</v>
      </c>
      <c r="K196" s="101"/>
      <c r="L196" s="101"/>
      <c r="M196" s="23" t="e">
        <f>SUM(#REF!)</f>
        <v>#REF!</v>
      </c>
      <c r="N196" s="24" t="e">
        <f>SUM(#REF!)</f>
        <v>#REF!</v>
      </c>
      <c r="O196" s="25" t="e">
        <f>SUM(#REF!)</f>
        <v>#REF!</v>
      </c>
      <c r="P196" s="27"/>
      <c r="Q196" s="27"/>
      <c r="T196" s="62"/>
      <c r="W196" s="62"/>
    </row>
    <row r="197" spans="1:23" s="29" customFormat="1">
      <c r="A197" s="26"/>
      <c r="B197" s="55" t="s">
        <v>123</v>
      </c>
      <c r="C197" s="103">
        <v>5425</v>
      </c>
      <c r="D197" s="103"/>
      <c r="E197" s="103">
        <v>5425</v>
      </c>
      <c r="F197" s="100"/>
      <c r="G197" s="137">
        <v>5032.22</v>
      </c>
      <c r="H197" s="146">
        <f t="shared" si="44"/>
        <v>92.759815668202776</v>
      </c>
      <c r="I197" s="137">
        <v>5032.22</v>
      </c>
      <c r="J197" s="146">
        <f t="shared" si="35"/>
        <v>92.759815668202776</v>
      </c>
      <c r="K197" s="101"/>
      <c r="L197" s="101"/>
      <c r="M197" s="23"/>
      <c r="N197" s="24"/>
      <c r="O197" s="25"/>
      <c r="P197" s="27"/>
      <c r="Q197" s="27"/>
      <c r="T197" s="62"/>
      <c r="W197" s="62"/>
    </row>
    <row r="198" spans="1:23" s="29" customFormat="1">
      <c r="A198" s="26"/>
      <c r="B198" s="99" t="s">
        <v>26</v>
      </c>
      <c r="C198" s="100">
        <f>SUM(C199:C199)</f>
        <v>1896</v>
      </c>
      <c r="D198" s="100"/>
      <c r="E198" s="100">
        <f>SUM(E199:E199)</f>
        <v>1896</v>
      </c>
      <c r="F198" s="100"/>
      <c r="G198" s="136">
        <f>SUM(G199)</f>
        <v>2095.5</v>
      </c>
      <c r="H198" s="149">
        <f t="shared" si="44"/>
        <v>110.52215189873418</v>
      </c>
      <c r="I198" s="136">
        <f>SUM(I199)</f>
        <v>2095.5</v>
      </c>
      <c r="J198" s="149">
        <f t="shared" si="35"/>
        <v>110.52215189873418</v>
      </c>
      <c r="K198" s="101"/>
      <c r="L198" s="101"/>
      <c r="M198" s="23" t="e">
        <f>SUM(#REF!)</f>
        <v>#REF!</v>
      </c>
      <c r="N198" s="24" t="e">
        <f>SUM(#REF!)</f>
        <v>#REF!</v>
      </c>
      <c r="O198" s="25" t="e">
        <f>SUM(#REF!)</f>
        <v>#REF!</v>
      </c>
      <c r="P198" s="27"/>
      <c r="Q198" s="27"/>
      <c r="T198" s="62"/>
      <c r="W198" s="62"/>
    </row>
    <row r="199" spans="1:23">
      <c r="A199" s="26"/>
      <c r="B199" s="102" t="s">
        <v>122</v>
      </c>
      <c r="C199" s="103">
        <v>1896</v>
      </c>
      <c r="D199" s="100"/>
      <c r="E199" s="103">
        <v>1896</v>
      </c>
      <c r="F199" s="103"/>
      <c r="G199" s="137">
        <v>2095.5</v>
      </c>
      <c r="H199" s="146">
        <f t="shared" si="44"/>
        <v>110.52215189873418</v>
      </c>
      <c r="I199" s="137">
        <v>2095.5</v>
      </c>
      <c r="J199" s="146">
        <f t="shared" si="35"/>
        <v>110.52215189873418</v>
      </c>
      <c r="K199" s="101"/>
      <c r="L199" s="105"/>
      <c r="M199" s="23"/>
      <c r="N199" s="24"/>
      <c r="O199" s="25"/>
      <c r="P199" s="7"/>
      <c r="Q199" s="7"/>
      <c r="T199" s="62"/>
      <c r="V199" s="29"/>
      <c r="W199" s="62"/>
    </row>
    <row r="200" spans="1:23" s="29" customFormat="1">
      <c r="A200" s="26"/>
      <c r="B200" s="99" t="s">
        <v>16</v>
      </c>
      <c r="C200" s="100">
        <f>SUM(C201:C204)</f>
        <v>7150</v>
      </c>
      <c r="D200" s="100">
        <f>SUM(D201:D206)</f>
        <v>0</v>
      </c>
      <c r="E200" s="100">
        <f>SUM(E201:E204)</f>
        <v>7150</v>
      </c>
      <c r="F200" s="100"/>
      <c r="G200" s="136">
        <f>SUM(G201:G204)</f>
        <v>7150</v>
      </c>
      <c r="H200" s="149">
        <f t="shared" si="44"/>
        <v>100</v>
      </c>
      <c r="I200" s="136">
        <f>SUM(I201:I204)</f>
        <v>7150</v>
      </c>
      <c r="J200" s="149">
        <f t="shared" si="35"/>
        <v>100</v>
      </c>
      <c r="K200" s="101"/>
      <c r="L200" s="101"/>
      <c r="M200" s="23" t="e">
        <f>M201+#REF!+M206+#REF!</f>
        <v>#REF!</v>
      </c>
      <c r="N200" s="24" t="e">
        <f>N201+#REF!+N206+#REF!</f>
        <v>#REF!</v>
      </c>
      <c r="O200" s="25" t="e">
        <f>O201+#REF!+O206+#REF!</f>
        <v>#REF!</v>
      </c>
      <c r="P200" s="27"/>
      <c r="Q200" s="27"/>
      <c r="T200" s="61"/>
      <c r="V200" s="21"/>
      <c r="W200" s="61"/>
    </row>
    <row r="201" spans="1:23">
      <c r="A201" s="26"/>
      <c r="B201" s="55" t="s">
        <v>39</v>
      </c>
      <c r="C201" s="103">
        <v>3000</v>
      </c>
      <c r="D201" s="103"/>
      <c r="E201" s="103">
        <v>3000</v>
      </c>
      <c r="F201" s="103"/>
      <c r="G201" s="137">
        <v>3000</v>
      </c>
      <c r="H201" s="146">
        <f t="shared" si="44"/>
        <v>100</v>
      </c>
      <c r="I201" s="137">
        <v>3000</v>
      </c>
      <c r="J201" s="146">
        <f t="shared" si="35"/>
        <v>100</v>
      </c>
      <c r="K201" s="105"/>
      <c r="L201" s="105"/>
      <c r="M201" s="30"/>
      <c r="N201" s="31"/>
      <c r="O201" s="8"/>
      <c r="P201" s="7"/>
      <c r="Q201" s="7"/>
      <c r="T201" s="61"/>
      <c r="V201" s="21"/>
      <c r="W201" s="61"/>
    </row>
    <row r="202" spans="1:23">
      <c r="A202" s="26"/>
      <c r="B202" s="56" t="s">
        <v>38</v>
      </c>
      <c r="C202" s="103">
        <v>500</v>
      </c>
      <c r="D202" s="103"/>
      <c r="E202" s="103">
        <v>500</v>
      </c>
      <c r="F202" s="103"/>
      <c r="G202" s="137">
        <v>500</v>
      </c>
      <c r="H202" s="146">
        <f t="shared" si="44"/>
        <v>100</v>
      </c>
      <c r="I202" s="137">
        <v>500</v>
      </c>
      <c r="J202" s="146">
        <f t="shared" si="35"/>
        <v>100</v>
      </c>
      <c r="K202" s="105"/>
      <c r="L202" s="105"/>
      <c r="M202" s="9"/>
      <c r="N202" s="10"/>
      <c r="O202" s="8"/>
      <c r="P202" s="7"/>
      <c r="Q202" s="7"/>
      <c r="T202" s="62"/>
      <c r="V202" s="29"/>
      <c r="W202" s="62"/>
    </row>
    <row r="203" spans="1:23">
      <c r="A203" s="26"/>
      <c r="B203" s="56" t="s">
        <v>40</v>
      </c>
      <c r="C203" s="103">
        <v>1650</v>
      </c>
      <c r="D203" s="103"/>
      <c r="E203" s="103">
        <v>1650</v>
      </c>
      <c r="F203" s="103"/>
      <c r="G203" s="137">
        <v>1650</v>
      </c>
      <c r="H203" s="146">
        <f t="shared" si="44"/>
        <v>100</v>
      </c>
      <c r="I203" s="137">
        <v>1650</v>
      </c>
      <c r="J203" s="146">
        <f t="shared" si="35"/>
        <v>100</v>
      </c>
      <c r="K203" s="105"/>
      <c r="L203" s="105"/>
      <c r="M203" s="9"/>
      <c r="N203" s="10"/>
      <c r="O203" s="8"/>
      <c r="P203" s="7"/>
      <c r="Q203" s="7"/>
      <c r="T203" s="62"/>
      <c r="V203" s="29"/>
      <c r="W203" s="62"/>
    </row>
    <row r="204" spans="1:23">
      <c r="A204" s="26"/>
      <c r="B204" s="56" t="s">
        <v>73</v>
      </c>
      <c r="C204" s="103">
        <v>2000</v>
      </c>
      <c r="D204" s="103"/>
      <c r="E204" s="103">
        <v>2000</v>
      </c>
      <c r="F204" s="103"/>
      <c r="G204" s="137">
        <v>2000</v>
      </c>
      <c r="H204" s="146">
        <v>100</v>
      </c>
      <c r="I204" s="137">
        <v>2000</v>
      </c>
      <c r="J204" s="146">
        <f t="shared" si="35"/>
        <v>100</v>
      </c>
      <c r="K204" s="105"/>
      <c r="L204" s="105"/>
      <c r="M204" s="9"/>
      <c r="N204" s="10"/>
      <c r="O204" s="8"/>
      <c r="P204" s="7"/>
      <c r="Q204" s="7"/>
      <c r="T204" s="62"/>
      <c r="V204" s="29"/>
      <c r="W204" s="62"/>
    </row>
    <row r="205" spans="1:23" s="29" customFormat="1">
      <c r="A205" s="26"/>
      <c r="B205" s="99" t="s">
        <v>18</v>
      </c>
      <c r="C205" s="100">
        <f>SUM(C206:C207)</f>
        <v>525</v>
      </c>
      <c r="D205" s="100"/>
      <c r="E205" s="100">
        <f>SUM(E206:E207)</f>
        <v>525</v>
      </c>
      <c r="F205" s="100"/>
      <c r="G205" s="136">
        <f>SUM(G206:G207)</f>
        <v>525</v>
      </c>
      <c r="H205" s="149">
        <f t="shared" si="44"/>
        <v>100</v>
      </c>
      <c r="I205" s="136">
        <f>SUM(I206:I207)</f>
        <v>525</v>
      </c>
      <c r="J205" s="149">
        <f t="shared" si="35"/>
        <v>100</v>
      </c>
      <c r="K205" s="101"/>
      <c r="L205" s="101"/>
      <c r="M205" s="14" t="e">
        <f t="shared" ref="M205:Q205" si="45">SUM(M206:M207)</f>
        <v>#REF!</v>
      </c>
      <c r="N205" s="14" t="e">
        <f t="shared" si="45"/>
        <v>#REF!</v>
      </c>
      <c r="O205" s="14" t="e">
        <f t="shared" si="45"/>
        <v>#REF!</v>
      </c>
      <c r="P205" s="14">
        <f t="shared" si="45"/>
        <v>0</v>
      </c>
      <c r="Q205" s="14">
        <f t="shared" si="45"/>
        <v>0</v>
      </c>
      <c r="T205" s="62"/>
      <c r="W205" s="62"/>
    </row>
    <row r="206" spans="1:23">
      <c r="A206" s="26"/>
      <c r="B206" s="55" t="s">
        <v>19</v>
      </c>
      <c r="C206" s="103">
        <v>500</v>
      </c>
      <c r="D206" s="103"/>
      <c r="E206" s="103">
        <v>500</v>
      </c>
      <c r="F206" s="103" t="s">
        <v>10</v>
      </c>
      <c r="G206" s="138">
        <v>500</v>
      </c>
      <c r="H206" s="146">
        <f t="shared" si="44"/>
        <v>100</v>
      </c>
      <c r="I206" s="138">
        <v>500</v>
      </c>
      <c r="J206" s="146">
        <f t="shared" si="35"/>
        <v>100</v>
      </c>
      <c r="K206" s="106"/>
      <c r="L206" s="105"/>
      <c r="M206" s="9" t="e">
        <f>SUM(#REF!)</f>
        <v>#REF!</v>
      </c>
      <c r="N206" s="10" t="e">
        <f>SUM(#REF!)</f>
        <v>#REF!</v>
      </c>
      <c r="O206" s="34" t="e">
        <f>SUM(#REF!)</f>
        <v>#REF!</v>
      </c>
      <c r="P206" s="7"/>
      <c r="Q206" s="7"/>
      <c r="T206" s="62"/>
      <c r="V206" s="29"/>
      <c r="W206" s="62"/>
    </row>
    <row r="207" spans="1:23">
      <c r="A207" s="26"/>
      <c r="B207" s="56" t="s">
        <v>29</v>
      </c>
      <c r="C207" s="103">
        <v>25</v>
      </c>
      <c r="D207" s="103"/>
      <c r="E207" s="103">
        <v>25</v>
      </c>
      <c r="F207" s="103"/>
      <c r="G207" s="138">
        <v>25</v>
      </c>
      <c r="H207" s="146">
        <f t="shared" si="44"/>
        <v>100</v>
      </c>
      <c r="I207" s="138">
        <v>25</v>
      </c>
      <c r="J207" s="146">
        <f t="shared" si="35"/>
        <v>100</v>
      </c>
      <c r="K207" s="106"/>
      <c r="L207" s="105"/>
      <c r="M207" s="9"/>
      <c r="N207" s="10"/>
      <c r="O207" s="11"/>
      <c r="P207" s="7"/>
      <c r="Q207" s="7"/>
      <c r="T207" s="62"/>
      <c r="V207" s="29"/>
      <c r="W207" s="62"/>
    </row>
    <row r="208" spans="1:23" s="29" customFormat="1">
      <c r="A208" s="26"/>
      <c r="B208" s="99" t="s">
        <v>74</v>
      </c>
      <c r="C208" s="100">
        <f>SUM(C209)</f>
        <v>750</v>
      </c>
      <c r="D208" s="100"/>
      <c r="E208" s="100">
        <f>SUM(E209)</f>
        <v>750</v>
      </c>
      <c r="F208" s="100"/>
      <c r="G208" s="136">
        <f>SUM(G209)</f>
        <v>734.41</v>
      </c>
      <c r="H208" s="149">
        <f t="shared" si="44"/>
        <v>97.921333333333322</v>
      </c>
      <c r="I208" s="136">
        <f>SUM(I209)</f>
        <v>734.41</v>
      </c>
      <c r="J208" s="149">
        <f t="shared" si="35"/>
        <v>97.921333333333322</v>
      </c>
      <c r="K208" s="107"/>
      <c r="L208" s="101"/>
      <c r="M208" s="35">
        <f t="shared" ref="M208:O208" si="46">SUM(M209:M209)</f>
        <v>0</v>
      </c>
      <c r="N208" s="36">
        <f t="shared" si="46"/>
        <v>0</v>
      </c>
      <c r="O208" s="37">
        <f t="shared" si="46"/>
        <v>0</v>
      </c>
      <c r="P208" s="27"/>
      <c r="Q208" s="27"/>
      <c r="T208" s="62"/>
      <c r="W208" s="62"/>
    </row>
    <row r="209" spans="1:23">
      <c r="A209" s="13"/>
      <c r="B209" s="55" t="s">
        <v>75</v>
      </c>
      <c r="C209" s="103">
        <v>750</v>
      </c>
      <c r="D209" s="103"/>
      <c r="E209" s="103">
        <v>750</v>
      </c>
      <c r="F209" s="100"/>
      <c r="G209" s="138">
        <v>734.41</v>
      </c>
      <c r="H209" s="146">
        <f t="shared" si="44"/>
        <v>97.921333333333322</v>
      </c>
      <c r="I209" s="138">
        <v>734.41</v>
      </c>
      <c r="J209" s="146">
        <f t="shared" si="35"/>
        <v>97.921333333333322</v>
      </c>
      <c r="K209" s="106"/>
      <c r="L209" s="105"/>
      <c r="M209" s="38"/>
      <c r="N209" s="39"/>
      <c r="O209" s="40"/>
      <c r="P209" s="7"/>
      <c r="Q209" s="7"/>
      <c r="T209" s="62"/>
      <c r="V209" s="29"/>
      <c r="W209" s="62"/>
    </row>
    <row r="210" spans="1:23" s="29" customFormat="1">
      <c r="A210" s="26"/>
      <c r="B210" s="99" t="s">
        <v>22</v>
      </c>
      <c r="C210" s="100">
        <f>SUM(C211:C213)</f>
        <v>1754</v>
      </c>
      <c r="D210" s="100"/>
      <c r="E210" s="100">
        <f>SUM(E211:E213)</f>
        <v>1754</v>
      </c>
      <c r="F210" s="100" t="s">
        <v>10</v>
      </c>
      <c r="G210" s="136">
        <f>SUM(G211:G213)</f>
        <v>1814.3799999999999</v>
      </c>
      <c r="H210" s="149">
        <f t="shared" si="44"/>
        <v>103.44241733181299</v>
      </c>
      <c r="I210" s="136">
        <f>SUM(I211:I213)</f>
        <v>1814.3799999999999</v>
      </c>
      <c r="J210" s="149">
        <f t="shared" si="35"/>
        <v>103.44241733181299</v>
      </c>
      <c r="K210" s="107"/>
      <c r="L210" s="101"/>
      <c r="M210" s="14" t="e">
        <f>#REF!+#REF!+#REF!+#REF!+#REF!+M211+#REF!+#REF!+#REF!+#REF!+#REF!+M212+M213+#REF!+#REF!+#REF!+#REF!+#REF!+#REF!+#REF!+#REF!</f>
        <v>#REF!</v>
      </c>
      <c r="N210" s="14" t="e">
        <f>#REF!+#REF!+#REF!+#REF!+#REF!+N211+#REF!+#REF!+#REF!+#REF!+#REF!+N212+N213+#REF!+#REF!+#REF!+#REF!+#REF!+#REF!+#REF!+#REF!</f>
        <v>#REF!</v>
      </c>
      <c r="O210" s="14" t="e">
        <f>#REF!+#REF!+#REF!+#REF!+#REF!+O211+#REF!+#REF!+#REF!+#REF!+#REF!+O212+O213+#REF!+#REF!+#REF!+#REF!+#REF!+#REF!+#REF!+#REF!</f>
        <v>#REF!</v>
      </c>
      <c r="P210" s="14" t="e">
        <f>#REF!+#REF!+#REF!+#REF!+#REF!+P211+#REF!+#REF!+#REF!+#REF!+#REF!+P212+P213+#REF!+#REF!+#REF!+#REF!+#REF!+#REF!+#REF!+#REF!</f>
        <v>#REF!</v>
      </c>
      <c r="Q210" s="14" t="e">
        <f>#REF!+#REF!+#REF!+#REF!+#REF!+Q211+#REF!+#REF!+#REF!+#REF!+#REF!+Q212+Q213+#REF!+#REF!+#REF!+#REF!+#REF!+#REF!+#REF!+#REF!</f>
        <v>#REF!</v>
      </c>
      <c r="T210" s="62"/>
      <c r="W210" s="62"/>
    </row>
    <row r="211" spans="1:23">
      <c r="A211" s="45"/>
      <c r="B211" s="55" t="s">
        <v>76</v>
      </c>
      <c r="C211" s="103">
        <v>304</v>
      </c>
      <c r="D211" s="103"/>
      <c r="E211" s="103">
        <v>304</v>
      </c>
      <c r="F211" s="103" t="s">
        <v>10</v>
      </c>
      <c r="G211" s="138">
        <v>355.27</v>
      </c>
      <c r="H211" s="146">
        <f t="shared" si="44"/>
        <v>116.86513157894736</v>
      </c>
      <c r="I211" s="138">
        <v>355.27</v>
      </c>
      <c r="J211" s="146">
        <f t="shared" si="35"/>
        <v>116.86513157894736</v>
      </c>
      <c r="K211" s="108"/>
      <c r="L211" s="105"/>
      <c r="M211" s="46" t="e">
        <f>#REF!+#REF!+#REF!</f>
        <v>#REF!</v>
      </c>
      <c r="N211" s="47" t="e">
        <f>#REF!+#REF!+#REF!</f>
        <v>#REF!</v>
      </c>
      <c r="O211" s="48" t="e">
        <f>#REF!+#REF!+#REF!</f>
        <v>#REF!</v>
      </c>
      <c r="P211" s="7"/>
      <c r="Q211" s="7"/>
      <c r="T211" s="62"/>
      <c r="V211" s="29"/>
      <c r="W211" s="62"/>
    </row>
    <row r="212" spans="1:23">
      <c r="A212" s="13"/>
      <c r="B212" s="55" t="s">
        <v>59</v>
      </c>
      <c r="C212" s="103">
        <v>50</v>
      </c>
      <c r="D212" s="103"/>
      <c r="E212" s="103">
        <v>50</v>
      </c>
      <c r="F212" s="103"/>
      <c r="G212" s="138">
        <v>50</v>
      </c>
      <c r="H212" s="146">
        <f t="shared" si="44"/>
        <v>100</v>
      </c>
      <c r="I212" s="138">
        <v>50</v>
      </c>
      <c r="J212" s="146">
        <f t="shared" si="35"/>
        <v>100</v>
      </c>
      <c r="K212" s="108"/>
      <c r="L212" s="105"/>
      <c r="M212" s="9"/>
      <c r="N212" s="10"/>
      <c r="O212" s="8"/>
      <c r="P212" s="7"/>
      <c r="Q212" s="7"/>
      <c r="T212" s="62"/>
      <c r="V212" s="29"/>
      <c r="W212" s="62"/>
    </row>
    <row r="213" spans="1:23">
      <c r="A213" s="49"/>
      <c r="B213" s="55" t="s">
        <v>30</v>
      </c>
      <c r="C213" s="103">
        <v>1400</v>
      </c>
      <c r="D213" s="103"/>
      <c r="E213" s="103">
        <v>1400</v>
      </c>
      <c r="F213" s="103"/>
      <c r="G213" s="138">
        <v>1409.11</v>
      </c>
      <c r="H213" s="146">
        <f t="shared" si="44"/>
        <v>100.65071428571429</v>
      </c>
      <c r="I213" s="138">
        <v>1409.11</v>
      </c>
      <c r="J213" s="146">
        <f t="shared" si="35"/>
        <v>100.65071428571429</v>
      </c>
      <c r="K213" s="106"/>
      <c r="L213" s="105"/>
      <c r="M213" s="9"/>
      <c r="N213" s="10"/>
      <c r="O213" s="8"/>
      <c r="P213" s="7"/>
      <c r="Q213" s="7"/>
      <c r="T213" s="62"/>
      <c r="V213" s="29"/>
      <c r="W213" s="62"/>
    </row>
    <row r="214" spans="1:23" s="75" customFormat="1" ht="13.5" customHeight="1">
      <c r="A214" s="82" t="s">
        <v>129</v>
      </c>
      <c r="B214" s="118" t="s">
        <v>130</v>
      </c>
      <c r="C214" s="121">
        <v>86883</v>
      </c>
      <c r="D214" s="119"/>
      <c r="E214" s="121">
        <v>86883</v>
      </c>
      <c r="F214" s="121"/>
      <c r="G214" s="145">
        <v>87512.08</v>
      </c>
      <c r="H214" s="147">
        <f t="shared" si="44"/>
        <v>100.72405418781581</v>
      </c>
      <c r="I214" s="145">
        <f>+I215</f>
        <v>87512.080000000016</v>
      </c>
      <c r="J214" s="147">
        <f t="shared" si="35"/>
        <v>100.72405418781582</v>
      </c>
      <c r="K214" s="119"/>
      <c r="L214" s="119"/>
      <c r="M214" s="115"/>
      <c r="N214" s="116"/>
      <c r="O214" s="116"/>
      <c r="P214" s="116"/>
      <c r="Q214" s="116"/>
      <c r="V214" s="117"/>
      <c r="W214" s="117"/>
    </row>
    <row r="215" spans="1:23">
      <c r="A215" s="13"/>
      <c r="B215" s="97" t="s">
        <v>31</v>
      </c>
      <c r="C215" s="98">
        <f>C216+C218+C220+C225+C229+C234</f>
        <v>86883</v>
      </c>
      <c r="D215" s="98" t="e">
        <f>D216+D218+D220+D225+D229+D234</f>
        <v>#REF!</v>
      </c>
      <c r="E215" s="98">
        <f>E216+E218+E220+E225+E229+E234</f>
        <v>86883</v>
      </c>
      <c r="F215" s="98" t="s">
        <v>10</v>
      </c>
      <c r="G215" s="135">
        <f>G216+G218+G220+G225+G229+G234</f>
        <v>87512.080000000016</v>
      </c>
      <c r="H215" s="135">
        <f>G215/C215*100</f>
        <v>100.72405418781582</v>
      </c>
      <c r="I215" s="135">
        <f>I216+I218+I220+I225+I229+I234</f>
        <v>87512.080000000016</v>
      </c>
      <c r="J215" s="135">
        <f>I215/E215*100</f>
        <v>100.72405418781582</v>
      </c>
      <c r="K215" s="98"/>
      <c r="L215" s="98"/>
      <c r="M215" s="78" t="e">
        <f>M216+M218+M220+M225+M229+M234</f>
        <v>#REF!</v>
      </c>
      <c r="N215" s="78" t="e">
        <f>N216+N218+N220+N225+N229+N234</f>
        <v>#REF!</v>
      </c>
      <c r="O215" s="78" t="e">
        <f>O216+O218+O220+O225+O229+O234</f>
        <v>#REF!</v>
      </c>
      <c r="P215" s="78" t="e">
        <f>P216+P218+P220+P225+P229+P234</f>
        <v>#REF!</v>
      </c>
      <c r="Q215" s="78" t="e">
        <f>Q216+Q218+Q220+Q225+Q229+Q234</f>
        <v>#REF!</v>
      </c>
    </row>
    <row r="216" spans="1:23">
      <c r="A216" s="13"/>
      <c r="B216" s="99" t="s">
        <v>11</v>
      </c>
      <c r="C216" s="100">
        <f>E216+F216</f>
        <v>58465</v>
      </c>
      <c r="D216" s="100" t="e">
        <f>#REF!</f>
        <v>#REF!</v>
      </c>
      <c r="E216" s="100">
        <f>SUM(E217:E217)</f>
        <v>58465</v>
      </c>
      <c r="F216" s="100"/>
      <c r="G216" s="136">
        <f>SUM(G217)</f>
        <v>58566.84</v>
      </c>
      <c r="H216" s="149">
        <f t="shared" ref="H216:H235" si="47">G216/C216*100</f>
        <v>100.174189686137</v>
      </c>
      <c r="I216" s="136">
        <f>SUM(I217)</f>
        <v>58566.84</v>
      </c>
      <c r="J216" s="149">
        <f t="shared" si="35"/>
        <v>100.174189686137</v>
      </c>
      <c r="K216" s="110"/>
      <c r="L216" s="101"/>
      <c r="M216" s="15" t="e">
        <f>#REF!</f>
        <v>#REF!</v>
      </c>
      <c r="N216" s="16" t="e">
        <f>#REF!</f>
        <v>#REF!</v>
      </c>
      <c r="O216" s="16" t="e">
        <f>#REF!</f>
        <v>#REF!</v>
      </c>
      <c r="P216" s="7"/>
      <c r="Q216" s="7"/>
    </row>
    <row r="217" spans="1:23" s="3" customFormat="1">
      <c r="A217" s="13"/>
      <c r="B217" s="55" t="s">
        <v>123</v>
      </c>
      <c r="C217" s="103">
        <v>58465</v>
      </c>
      <c r="D217" s="103"/>
      <c r="E217" s="103">
        <v>58465</v>
      </c>
      <c r="F217" s="103"/>
      <c r="G217" s="141">
        <v>58566.84</v>
      </c>
      <c r="H217" s="146">
        <f t="shared" si="47"/>
        <v>100.174189686137</v>
      </c>
      <c r="I217" s="141">
        <v>58566.84</v>
      </c>
      <c r="J217" s="146">
        <f t="shared" si="35"/>
        <v>100.174189686137</v>
      </c>
      <c r="K217" s="104"/>
      <c r="L217" s="105"/>
      <c r="M217" s="46"/>
      <c r="N217" s="47"/>
      <c r="O217" s="48"/>
      <c r="P217" s="55"/>
      <c r="Q217" s="55"/>
    </row>
    <row r="218" spans="1:23">
      <c r="A218" s="13"/>
      <c r="B218" s="99" t="s">
        <v>13</v>
      </c>
      <c r="C218" s="100">
        <f>SUM(C219:C219)</f>
        <v>17094</v>
      </c>
      <c r="D218" s="100">
        <f>SUM(D219:D219)</f>
        <v>0</v>
      </c>
      <c r="E218" s="100">
        <f>SUM(E219:E219)</f>
        <v>17094</v>
      </c>
      <c r="F218" s="103"/>
      <c r="G218" s="136">
        <f>SUM(G219)</f>
        <v>17488.240000000002</v>
      </c>
      <c r="H218" s="149">
        <f t="shared" si="47"/>
        <v>102.30630630630631</v>
      </c>
      <c r="I218" s="136">
        <f>SUM(I219)</f>
        <v>17488.240000000002</v>
      </c>
      <c r="J218" s="149">
        <f t="shared" si="35"/>
        <v>102.30630630630631</v>
      </c>
      <c r="K218" s="101"/>
      <c r="L218" s="101"/>
      <c r="M218" s="15"/>
      <c r="N218" s="16"/>
      <c r="O218" s="22"/>
      <c r="P218" s="7"/>
      <c r="Q218" s="7"/>
    </row>
    <row r="219" spans="1:23" s="3" customFormat="1">
      <c r="A219" s="13"/>
      <c r="B219" s="102" t="s">
        <v>122</v>
      </c>
      <c r="C219" s="103">
        <v>17094</v>
      </c>
      <c r="D219" s="103"/>
      <c r="E219" s="103">
        <v>17094</v>
      </c>
      <c r="F219" s="103"/>
      <c r="G219" s="141">
        <v>17488.240000000002</v>
      </c>
      <c r="H219" s="146">
        <f t="shared" si="47"/>
        <v>102.30630630630631</v>
      </c>
      <c r="I219" s="141">
        <v>17488.240000000002</v>
      </c>
      <c r="J219" s="146">
        <f t="shared" si="35"/>
        <v>102.30630630630631</v>
      </c>
      <c r="K219" s="104"/>
      <c r="L219" s="105"/>
      <c r="M219" s="46"/>
      <c r="N219" s="47"/>
      <c r="O219" s="48"/>
      <c r="P219" s="55"/>
      <c r="Q219" s="55"/>
    </row>
    <row r="220" spans="1:23" s="29" customFormat="1">
      <c r="A220" s="26"/>
      <c r="B220" s="99" t="s">
        <v>16</v>
      </c>
      <c r="C220" s="100">
        <f t="shared" ref="C220" si="48">E220+F220</f>
        <v>10000</v>
      </c>
      <c r="D220" s="100" t="e">
        <f>SUM(D221:D224)</f>
        <v>#REF!</v>
      </c>
      <c r="E220" s="100">
        <f>SUM(E221:E224)</f>
        <v>10000</v>
      </c>
      <c r="F220" s="100"/>
      <c r="G220" s="136">
        <f>SUM(G221:G224)</f>
        <v>10192.91</v>
      </c>
      <c r="H220" s="149">
        <f t="shared" si="47"/>
        <v>101.92909999999999</v>
      </c>
      <c r="I220" s="136">
        <f>SUM(I221:I224)</f>
        <v>10192.91</v>
      </c>
      <c r="J220" s="149">
        <f t="shared" si="35"/>
        <v>101.92909999999999</v>
      </c>
      <c r="K220" s="101"/>
      <c r="L220" s="101"/>
      <c r="M220" s="23" t="e">
        <f>M221+M223+M224+#REF!</f>
        <v>#REF!</v>
      </c>
      <c r="N220" s="24" t="e">
        <f>N221+N223+N224+#REF!</f>
        <v>#REF!</v>
      </c>
      <c r="O220" s="25" t="e">
        <f>O221+O223+O224+#REF!</f>
        <v>#REF!</v>
      </c>
      <c r="P220" s="27"/>
      <c r="Q220" s="27"/>
    </row>
    <row r="221" spans="1:23">
      <c r="A221" s="26"/>
      <c r="B221" s="55" t="s">
        <v>85</v>
      </c>
      <c r="C221" s="103">
        <v>3100</v>
      </c>
      <c r="D221" s="103"/>
      <c r="E221" s="103">
        <v>3100</v>
      </c>
      <c r="F221" s="103"/>
      <c r="G221" s="137">
        <v>3101.79</v>
      </c>
      <c r="H221" s="146">
        <f t="shared" si="47"/>
        <v>100.05774193548388</v>
      </c>
      <c r="I221" s="137">
        <v>3101.79</v>
      </c>
      <c r="J221" s="146">
        <f t="shared" si="35"/>
        <v>100.05774193548388</v>
      </c>
      <c r="K221" s="105"/>
      <c r="L221" s="105"/>
      <c r="M221" s="30"/>
      <c r="N221" s="31"/>
      <c r="O221" s="8"/>
      <c r="P221" s="7"/>
      <c r="Q221" s="7"/>
    </row>
    <row r="222" spans="1:23">
      <c r="A222" s="26"/>
      <c r="B222" s="55" t="s">
        <v>84</v>
      </c>
      <c r="C222" s="103">
        <v>1000</v>
      </c>
      <c r="D222" s="103"/>
      <c r="E222" s="103">
        <v>1000</v>
      </c>
      <c r="F222" s="103"/>
      <c r="G222" s="137">
        <v>992.38</v>
      </c>
      <c r="H222" s="146">
        <f t="shared" si="47"/>
        <v>99.238</v>
      </c>
      <c r="I222" s="137">
        <v>992.38</v>
      </c>
      <c r="J222" s="146">
        <f t="shared" si="35"/>
        <v>99.238</v>
      </c>
      <c r="K222" s="105"/>
      <c r="L222" s="105"/>
      <c r="M222" s="30"/>
      <c r="N222" s="31"/>
      <c r="O222" s="8"/>
      <c r="P222" s="7"/>
      <c r="Q222" s="7"/>
    </row>
    <row r="223" spans="1:23">
      <c r="A223" s="13"/>
      <c r="B223" s="55" t="s">
        <v>86</v>
      </c>
      <c r="C223" s="103">
        <v>4100</v>
      </c>
      <c r="D223" s="103"/>
      <c r="E223" s="103">
        <v>4100</v>
      </c>
      <c r="F223" s="103"/>
      <c r="G223" s="137">
        <v>4299.3100000000004</v>
      </c>
      <c r="H223" s="146">
        <f t="shared" si="47"/>
        <v>104.86121951219513</v>
      </c>
      <c r="I223" s="137">
        <v>4299.3100000000004</v>
      </c>
      <c r="J223" s="146">
        <f t="shared" si="35"/>
        <v>104.86121951219513</v>
      </c>
      <c r="K223" s="105"/>
      <c r="L223" s="105"/>
      <c r="M223" s="30"/>
      <c r="N223" s="31"/>
      <c r="O223" s="8"/>
      <c r="P223" s="7"/>
      <c r="Q223" s="7"/>
    </row>
    <row r="224" spans="1:23">
      <c r="A224" s="13"/>
      <c r="B224" s="55" t="s">
        <v>87</v>
      </c>
      <c r="C224" s="103">
        <v>1800</v>
      </c>
      <c r="D224" s="103" t="e">
        <f>#REF!+#REF!</f>
        <v>#REF!</v>
      </c>
      <c r="E224" s="103">
        <v>1800</v>
      </c>
      <c r="F224" s="103" t="s">
        <v>10</v>
      </c>
      <c r="G224" s="137">
        <v>1799.43</v>
      </c>
      <c r="H224" s="146">
        <f t="shared" si="47"/>
        <v>99.968333333333334</v>
      </c>
      <c r="I224" s="137">
        <v>1799.43</v>
      </c>
      <c r="J224" s="146">
        <f t="shared" si="35"/>
        <v>99.968333333333334</v>
      </c>
      <c r="K224" s="106"/>
      <c r="L224" s="105"/>
      <c r="M224" s="32" t="e">
        <f>#REF!+#REF!</f>
        <v>#REF!</v>
      </c>
      <c r="N224" s="33" t="e">
        <f>#REF!+#REF!</f>
        <v>#REF!</v>
      </c>
      <c r="O224" s="33" t="e">
        <f>#REF!+#REF!</f>
        <v>#REF!</v>
      </c>
      <c r="P224" s="33" t="e">
        <f>#REF!+#REF!</f>
        <v>#REF!</v>
      </c>
      <c r="Q224" s="33" t="e">
        <f>#REF!+#REF!</f>
        <v>#REF!</v>
      </c>
    </row>
    <row r="225" spans="1:23" s="29" customFormat="1">
      <c r="A225" s="26"/>
      <c r="B225" s="99" t="s">
        <v>18</v>
      </c>
      <c r="C225" s="100">
        <f>SUM(C226:C228)</f>
        <v>179</v>
      </c>
      <c r="D225" s="100" t="e">
        <f>SUM(D227:D228)</f>
        <v>#REF!</v>
      </c>
      <c r="E225" s="100">
        <f>SUM(E226:E228)</f>
        <v>179</v>
      </c>
      <c r="F225" s="100" t="s">
        <v>10</v>
      </c>
      <c r="G225" s="136">
        <f>SUM(G226:G228)</f>
        <v>90.21</v>
      </c>
      <c r="H225" s="149">
        <f t="shared" si="47"/>
        <v>50.396648044692739</v>
      </c>
      <c r="I225" s="136">
        <f>SUM(I226:I228)</f>
        <v>90.21</v>
      </c>
      <c r="J225" s="149">
        <f t="shared" si="35"/>
        <v>50.396648044692739</v>
      </c>
      <c r="K225" s="110"/>
      <c r="L225" s="101"/>
      <c r="M225" s="150" t="e">
        <f t="shared" ref="M225:Q225" si="49">SUM(M227:M228)</f>
        <v>#REF!</v>
      </c>
      <c r="N225" s="14" t="e">
        <f t="shared" si="49"/>
        <v>#REF!</v>
      </c>
      <c r="O225" s="14" t="e">
        <f t="shared" si="49"/>
        <v>#REF!</v>
      </c>
      <c r="P225" s="14">
        <f t="shared" si="49"/>
        <v>0</v>
      </c>
      <c r="Q225" s="14">
        <f t="shared" si="49"/>
        <v>0</v>
      </c>
    </row>
    <row r="226" spans="1:23" s="3" customFormat="1">
      <c r="A226" s="13"/>
      <c r="B226" s="102" t="s">
        <v>88</v>
      </c>
      <c r="C226" s="103">
        <v>0</v>
      </c>
      <c r="D226" s="103"/>
      <c r="E226" s="103">
        <v>0</v>
      </c>
      <c r="F226" s="103"/>
      <c r="G226" s="137"/>
      <c r="H226" s="146"/>
      <c r="I226" s="137"/>
      <c r="J226" s="146"/>
      <c r="K226" s="111"/>
      <c r="L226" s="105"/>
      <c r="M226" s="59"/>
      <c r="N226" s="5"/>
      <c r="O226" s="60"/>
      <c r="P226" s="5"/>
      <c r="Q226" s="5"/>
    </row>
    <row r="227" spans="1:23">
      <c r="A227" s="13"/>
      <c r="B227" s="55" t="s">
        <v>46</v>
      </c>
      <c r="C227" s="103">
        <f>E227+F227</f>
        <v>179</v>
      </c>
      <c r="D227" s="103" t="e">
        <f>SUM(#REF!)</f>
        <v>#REF!</v>
      </c>
      <c r="E227" s="103">
        <v>179</v>
      </c>
      <c r="F227" s="103"/>
      <c r="G227" s="138">
        <v>90.21</v>
      </c>
      <c r="H227" s="146">
        <f t="shared" si="47"/>
        <v>50.396648044692739</v>
      </c>
      <c r="I227" s="138">
        <v>90.21</v>
      </c>
      <c r="J227" s="146">
        <f t="shared" si="35"/>
        <v>50.396648044692739</v>
      </c>
      <c r="K227" s="106"/>
      <c r="L227" s="105"/>
      <c r="M227" s="9" t="e">
        <f>SUM(#REF!)</f>
        <v>#REF!</v>
      </c>
      <c r="N227" s="10" t="e">
        <f>SUM(#REF!)</f>
        <v>#REF!</v>
      </c>
      <c r="O227" s="34" t="e">
        <f>SUM(#REF!)</f>
        <v>#REF!</v>
      </c>
      <c r="P227" s="7"/>
      <c r="Q227" s="7"/>
    </row>
    <row r="228" spans="1:23">
      <c r="A228" s="13"/>
      <c r="B228" s="55" t="s">
        <v>89</v>
      </c>
      <c r="C228" s="103">
        <v>0</v>
      </c>
      <c r="D228" s="103"/>
      <c r="E228" s="103">
        <v>0</v>
      </c>
      <c r="F228" s="103"/>
      <c r="G228" s="137"/>
      <c r="H228" s="146"/>
      <c r="I228" s="137"/>
      <c r="J228" s="146"/>
      <c r="K228" s="105"/>
      <c r="L228" s="105"/>
      <c r="M228" s="9"/>
      <c r="N228" s="10"/>
      <c r="O228" s="11"/>
      <c r="P228" s="7"/>
      <c r="Q228" s="7"/>
    </row>
    <row r="229" spans="1:23" s="29" customFormat="1">
      <c r="A229" s="26"/>
      <c r="B229" s="99" t="s">
        <v>22</v>
      </c>
      <c r="C229" s="100">
        <f>SUM(C230:C233)</f>
        <v>1024</v>
      </c>
      <c r="D229" s="100">
        <f>SUM(D231:D232)</f>
        <v>0</v>
      </c>
      <c r="E229" s="100">
        <f>SUM(E230:E233)</f>
        <v>1024</v>
      </c>
      <c r="F229" s="100" t="s">
        <v>10</v>
      </c>
      <c r="G229" s="136">
        <f>SUM(G230:G233)</f>
        <v>1010.0300000000001</v>
      </c>
      <c r="H229" s="149">
        <f t="shared" si="47"/>
        <v>98.635742187500014</v>
      </c>
      <c r="I229" s="136">
        <f>SUM(I230:I233)</f>
        <v>1010.0300000000001</v>
      </c>
      <c r="J229" s="149">
        <f t="shared" si="35"/>
        <v>98.635742187500014</v>
      </c>
      <c r="K229" s="101"/>
      <c r="L229" s="101"/>
      <c r="M229" s="14" t="e">
        <f>#REF!+#REF!+#REF!+#REF!+#REF!+#REF!+#REF!+#REF!+#REF!+#REF!+M231+#REF!+M232+#REF!+#REF!+#REF!+#REF!+#REF!+#REF!+#REF!+#REF!</f>
        <v>#REF!</v>
      </c>
      <c r="N229" s="14" t="e">
        <f>#REF!+#REF!+#REF!+#REF!+#REF!+#REF!+#REF!+#REF!+#REF!+#REF!+N231+#REF!+N232+#REF!+#REF!+#REF!+#REF!+#REF!+#REF!+#REF!+#REF!</f>
        <v>#REF!</v>
      </c>
      <c r="O229" s="14" t="e">
        <f>#REF!+#REF!+#REF!+#REF!+#REF!+#REF!+#REF!+#REF!+#REF!+#REF!+O231+#REF!+O232+#REF!+#REF!+#REF!+#REF!+#REF!+#REF!+#REF!+#REF!</f>
        <v>#REF!</v>
      </c>
      <c r="P229" s="14" t="e">
        <f>#REF!+#REF!+#REF!+#REF!+#REF!+#REF!+#REF!+#REF!+#REF!+#REF!+P231+#REF!+P232+#REF!+#REF!+#REF!+#REF!+#REF!+#REF!+#REF!+#REF!</f>
        <v>#REF!</v>
      </c>
      <c r="Q229" s="14" t="e">
        <f>#REF!+#REF!+#REF!+#REF!+#REF!+#REF!+#REF!+#REF!+#REF!+#REF!+Q231+#REF!+Q232+#REF!+#REF!+#REF!+#REF!+#REF!+#REF!+#REF!+#REF!</f>
        <v>#REF!</v>
      </c>
    </row>
    <row r="230" spans="1:23" s="3" customFormat="1">
      <c r="A230" s="13"/>
      <c r="B230" s="102" t="s">
        <v>106</v>
      </c>
      <c r="C230" s="103">
        <v>0</v>
      </c>
      <c r="D230" s="103"/>
      <c r="E230" s="103">
        <v>0</v>
      </c>
      <c r="F230" s="103"/>
      <c r="G230" s="138"/>
      <c r="H230" s="146"/>
      <c r="I230" s="138"/>
      <c r="J230" s="146"/>
      <c r="K230" s="106"/>
      <c r="L230" s="105"/>
      <c r="M230" s="59"/>
      <c r="N230" s="5"/>
      <c r="O230" s="60"/>
      <c r="P230" s="5"/>
      <c r="Q230" s="5"/>
    </row>
    <row r="231" spans="1:23">
      <c r="A231" s="13"/>
      <c r="B231" s="55" t="s">
        <v>90</v>
      </c>
      <c r="C231" s="103">
        <v>310</v>
      </c>
      <c r="D231" s="103"/>
      <c r="E231" s="103">
        <v>310</v>
      </c>
      <c r="F231" s="103"/>
      <c r="G231" s="138">
        <v>290.83999999999997</v>
      </c>
      <c r="H231" s="146">
        <f t="shared" si="47"/>
        <v>93.819354838709671</v>
      </c>
      <c r="I231" s="138">
        <v>290.83999999999997</v>
      </c>
      <c r="J231" s="146">
        <f t="shared" si="35"/>
        <v>93.819354838709671</v>
      </c>
      <c r="K231" s="108"/>
      <c r="L231" s="105"/>
      <c r="M231" s="9"/>
      <c r="N231" s="10"/>
      <c r="O231" s="8"/>
      <c r="P231" s="7"/>
      <c r="Q231" s="7"/>
    </row>
    <row r="232" spans="1:23">
      <c r="A232" s="49"/>
      <c r="B232" s="55" t="s">
        <v>91</v>
      </c>
      <c r="C232" s="103">
        <v>550</v>
      </c>
      <c r="D232" s="103"/>
      <c r="E232" s="103">
        <v>550</v>
      </c>
      <c r="F232" s="103"/>
      <c r="G232" s="138">
        <v>555.11</v>
      </c>
      <c r="H232" s="146">
        <f t="shared" si="47"/>
        <v>100.9290909090909</v>
      </c>
      <c r="I232" s="138">
        <v>555.11</v>
      </c>
      <c r="J232" s="146">
        <f t="shared" si="35"/>
        <v>100.9290909090909</v>
      </c>
      <c r="K232" s="108"/>
      <c r="L232" s="105"/>
      <c r="M232" s="9"/>
      <c r="N232" s="10"/>
      <c r="O232" s="8"/>
      <c r="P232" s="7"/>
      <c r="Q232" s="7"/>
    </row>
    <row r="233" spans="1:23">
      <c r="A233" s="49"/>
      <c r="B233" s="56" t="s">
        <v>62</v>
      </c>
      <c r="C233" s="103">
        <v>164</v>
      </c>
      <c r="D233" s="103"/>
      <c r="E233" s="103">
        <v>164</v>
      </c>
      <c r="F233" s="103"/>
      <c r="G233" s="138">
        <v>164.08</v>
      </c>
      <c r="H233" s="146">
        <f t="shared" si="47"/>
        <v>100.04878048780488</v>
      </c>
      <c r="I233" s="138">
        <v>164.08</v>
      </c>
      <c r="J233" s="146">
        <f t="shared" si="35"/>
        <v>100.04878048780488</v>
      </c>
      <c r="K233" s="108"/>
      <c r="L233" s="105"/>
      <c r="M233" s="9"/>
      <c r="N233" s="10"/>
      <c r="O233" s="8"/>
      <c r="P233" s="7"/>
      <c r="Q233" s="7"/>
    </row>
    <row r="234" spans="1:23" s="29" customFormat="1">
      <c r="A234" s="26"/>
      <c r="B234" s="99" t="s">
        <v>23</v>
      </c>
      <c r="C234" s="100">
        <f>SUM(C235:C235)</f>
        <v>121</v>
      </c>
      <c r="D234" s="100">
        <f>SUM(D235:D235)</f>
        <v>0</v>
      </c>
      <c r="E234" s="100">
        <f>SUM(E235:E235)</f>
        <v>121</v>
      </c>
      <c r="F234" s="100" t="s">
        <v>10</v>
      </c>
      <c r="G234" s="136">
        <f>SUM(G235)</f>
        <v>163.85</v>
      </c>
      <c r="H234" s="149">
        <f t="shared" si="47"/>
        <v>135.41322314049586</v>
      </c>
      <c r="I234" s="136">
        <f>SUM(I235)</f>
        <v>163.85</v>
      </c>
      <c r="J234" s="149">
        <f t="shared" si="35"/>
        <v>135.41322314049586</v>
      </c>
      <c r="K234" s="101"/>
      <c r="L234" s="101"/>
      <c r="M234" s="35">
        <f>SUM(M235:M235)</f>
        <v>0</v>
      </c>
      <c r="N234" s="36">
        <f>SUM(N235:N235)</f>
        <v>0</v>
      </c>
      <c r="O234" s="37">
        <f>SUM(O235:O235)</f>
        <v>0</v>
      </c>
      <c r="P234" s="27"/>
      <c r="Q234" s="27"/>
    </row>
    <row r="235" spans="1:23">
      <c r="A235" s="13"/>
      <c r="B235" s="55" t="s">
        <v>92</v>
      </c>
      <c r="C235" s="103">
        <v>121</v>
      </c>
      <c r="D235" s="103"/>
      <c r="E235" s="103">
        <v>121</v>
      </c>
      <c r="F235" s="100"/>
      <c r="G235" s="138">
        <v>163.85</v>
      </c>
      <c r="H235" s="146">
        <f t="shared" si="47"/>
        <v>135.41322314049586</v>
      </c>
      <c r="I235" s="138">
        <v>163.85</v>
      </c>
      <c r="J235" s="146">
        <f t="shared" si="35"/>
        <v>135.41322314049586</v>
      </c>
      <c r="K235" s="106"/>
      <c r="L235" s="105"/>
      <c r="M235" s="9"/>
      <c r="N235" s="10"/>
      <c r="O235" s="8"/>
      <c r="P235" s="7"/>
      <c r="Q235" s="7"/>
    </row>
    <row r="236" spans="1:23" s="75" customFormat="1" ht="13.5" customHeight="1">
      <c r="A236" s="82" t="s">
        <v>127</v>
      </c>
      <c r="B236" s="118" t="s">
        <v>128</v>
      </c>
      <c r="C236" s="121">
        <v>26615</v>
      </c>
      <c r="D236" s="119"/>
      <c r="E236" s="121">
        <v>26615</v>
      </c>
      <c r="F236" s="121"/>
      <c r="G236" s="145">
        <v>25227.200000000001</v>
      </c>
      <c r="H236" s="147">
        <f>G236/C236*100</f>
        <v>94.785647191433412</v>
      </c>
      <c r="I236" s="145">
        <v>25227.200000000001</v>
      </c>
      <c r="J236" s="147">
        <f t="shared" si="35"/>
        <v>94.785647191433412</v>
      </c>
      <c r="K236" s="119"/>
      <c r="L236" s="119"/>
      <c r="M236" s="115"/>
      <c r="N236" s="116"/>
      <c r="O236" s="116"/>
      <c r="P236" s="116"/>
      <c r="Q236" s="116"/>
      <c r="V236" s="117"/>
      <c r="W236" s="117"/>
    </row>
    <row r="237" spans="1:23">
      <c r="A237" s="13"/>
      <c r="B237" s="97" t="s">
        <v>32</v>
      </c>
      <c r="C237" s="98">
        <f>C238+C240+C242+C246+C249</f>
        <v>26615</v>
      </c>
      <c r="D237" s="98" t="e">
        <f>D238+D240+#REF!+D242+D246+#REF!+#REF!+#REF!+#REF!</f>
        <v>#REF!</v>
      </c>
      <c r="E237" s="98">
        <f>E238+E240+E242+E246+E249</f>
        <v>26615</v>
      </c>
      <c r="F237" s="98" t="s">
        <v>10</v>
      </c>
      <c r="G237" s="135">
        <f>G238+G240+G242+G246+G249</f>
        <v>25227.199999999997</v>
      </c>
      <c r="H237" s="135">
        <f>G237/C237*100</f>
        <v>94.785647191433384</v>
      </c>
      <c r="I237" s="135">
        <f>I238+I240+I242+I246+I249</f>
        <v>25227.199999999997</v>
      </c>
      <c r="J237" s="135">
        <f>I237/E237*100</f>
        <v>94.785647191433384</v>
      </c>
      <c r="K237" s="98"/>
      <c r="L237" s="98"/>
      <c r="M237" s="78" t="e">
        <f>M238+M240+#REF!+M242+M246+#REF!+#REF!+#REF!+#REF!</f>
        <v>#REF!</v>
      </c>
      <c r="N237" s="78" t="e">
        <f>N238+N240+#REF!+N242+N246+#REF!+#REF!+#REF!+#REF!</f>
        <v>#REF!</v>
      </c>
      <c r="O237" s="78" t="e">
        <f>O238+O240+#REF!+O242+O246+#REF!+#REF!+#REF!+#REF!</f>
        <v>#REF!</v>
      </c>
      <c r="P237" s="78" t="e">
        <f>P238+P240+#REF!+P242+P246+#REF!+#REF!+#REF!+#REF!</f>
        <v>#REF!</v>
      </c>
      <c r="Q237" s="78" t="e">
        <f>Q238+Q240+#REF!+Q242+Q246+#REF!+#REF!+#REF!+#REF!</f>
        <v>#REF!</v>
      </c>
    </row>
    <row r="238" spans="1:23">
      <c r="A238" s="13"/>
      <c r="B238" s="99" t="s">
        <v>93</v>
      </c>
      <c r="C238" s="100">
        <f>SUM(C239:C239)</f>
        <v>15015</v>
      </c>
      <c r="D238" s="100" t="e">
        <f>#REF!</f>
        <v>#REF!</v>
      </c>
      <c r="E238" s="100">
        <f>SUM(E239:E239)</f>
        <v>15015</v>
      </c>
      <c r="F238" s="100"/>
      <c r="G238" s="136">
        <f>SUM(G239)</f>
        <v>15032.03</v>
      </c>
      <c r="H238" s="149">
        <f t="shared" ref="H238:J251" si="50">G238/C238*100</f>
        <v>100.1134199134199</v>
      </c>
      <c r="I238" s="136">
        <f>SUM(I239)</f>
        <v>15032.03</v>
      </c>
      <c r="J238" s="149">
        <f t="shared" si="35"/>
        <v>100.1134199134199</v>
      </c>
      <c r="K238" s="110"/>
      <c r="L238" s="101"/>
      <c r="M238" s="15" t="e">
        <f>#REF!</f>
        <v>#REF!</v>
      </c>
      <c r="N238" s="16" t="e">
        <f>#REF!</f>
        <v>#REF!</v>
      </c>
      <c r="O238" s="16" t="e">
        <f>#REF!</f>
        <v>#REF!</v>
      </c>
      <c r="P238" s="7"/>
      <c r="Q238" s="7"/>
    </row>
    <row r="239" spans="1:23" s="3" customFormat="1">
      <c r="A239" s="13"/>
      <c r="B239" s="55" t="s">
        <v>123</v>
      </c>
      <c r="C239" s="103">
        <v>15015</v>
      </c>
      <c r="D239" s="103"/>
      <c r="E239" s="103">
        <v>15015</v>
      </c>
      <c r="F239" s="103"/>
      <c r="G239" s="141">
        <v>15032.03</v>
      </c>
      <c r="H239" s="146">
        <f t="shared" si="50"/>
        <v>100.1134199134199</v>
      </c>
      <c r="I239" s="141">
        <v>15032.03</v>
      </c>
      <c r="J239" s="146">
        <f t="shared" ref="H239:J305" si="51">I239/E239*100</f>
        <v>100.1134199134199</v>
      </c>
      <c r="K239" s="104"/>
      <c r="L239" s="105"/>
      <c r="M239" s="46"/>
      <c r="N239" s="47"/>
      <c r="O239" s="48"/>
      <c r="P239" s="55"/>
      <c r="Q239" s="55"/>
    </row>
    <row r="240" spans="1:23">
      <c r="A240" s="13"/>
      <c r="B240" s="99" t="s">
        <v>13</v>
      </c>
      <c r="C240" s="100">
        <f>SUM(C241:C241)</f>
        <v>5248</v>
      </c>
      <c r="D240" s="100">
        <f>SUM(D241:D241)</f>
        <v>0</v>
      </c>
      <c r="E240" s="100">
        <f>SUM(E241:E241)</f>
        <v>5248</v>
      </c>
      <c r="F240" s="103"/>
      <c r="G240" s="136">
        <f>SUM(G241)</f>
        <v>5403.07</v>
      </c>
      <c r="H240" s="149">
        <f t="shared" si="50"/>
        <v>102.9548399390244</v>
      </c>
      <c r="I240" s="136">
        <f>SUM(I241)</f>
        <v>5403.07</v>
      </c>
      <c r="J240" s="149">
        <f t="shared" si="51"/>
        <v>102.9548399390244</v>
      </c>
      <c r="K240" s="101"/>
      <c r="L240" s="101"/>
      <c r="M240" s="15"/>
      <c r="N240" s="16"/>
      <c r="O240" s="22"/>
      <c r="P240" s="7"/>
      <c r="Q240" s="7"/>
    </row>
    <row r="241" spans="1:17" s="3" customFormat="1">
      <c r="A241" s="13"/>
      <c r="B241" s="102" t="s">
        <v>122</v>
      </c>
      <c r="C241" s="103">
        <v>5248</v>
      </c>
      <c r="D241" s="103"/>
      <c r="E241" s="103">
        <v>5248</v>
      </c>
      <c r="F241" s="103"/>
      <c r="G241" s="142">
        <v>5403.07</v>
      </c>
      <c r="H241" s="146">
        <f t="shared" si="50"/>
        <v>102.9548399390244</v>
      </c>
      <c r="I241" s="142">
        <v>5403.07</v>
      </c>
      <c r="J241" s="146">
        <f t="shared" si="51"/>
        <v>102.9548399390244</v>
      </c>
      <c r="K241" s="111"/>
      <c r="L241" s="105"/>
      <c r="M241" s="46"/>
      <c r="N241" s="47"/>
      <c r="O241" s="48"/>
      <c r="P241" s="55"/>
      <c r="Q241" s="55"/>
    </row>
    <row r="242" spans="1:17" s="29" customFormat="1">
      <c r="A242" s="26"/>
      <c r="B242" s="99" t="s">
        <v>16</v>
      </c>
      <c r="C242" s="100">
        <f>SUM(C243:C245)</f>
        <v>2500</v>
      </c>
      <c r="D242" s="100" t="e">
        <f>SUM(D243:D245)</f>
        <v>#REF!</v>
      </c>
      <c r="E242" s="100">
        <f>SUM(E243:E245)</f>
        <v>2500</v>
      </c>
      <c r="F242" s="100"/>
      <c r="G242" s="136">
        <f>SUM(G243:G245)</f>
        <v>2473.44</v>
      </c>
      <c r="H242" s="149">
        <f t="shared" si="50"/>
        <v>98.937600000000003</v>
      </c>
      <c r="I242" s="136">
        <f>SUM(I243:I245)</f>
        <v>2473.44</v>
      </c>
      <c r="J242" s="149">
        <f t="shared" si="51"/>
        <v>98.937600000000003</v>
      </c>
      <c r="K242" s="107"/>
      <c r="L242" s="101"/>
      <c r="M242" s="23" t="e">
        <f>M243+#REF!+M245+#REF!</f>
        <v>#REF!</v>
      </c>
      <c r="N242" s="24" t="e">
        <f>N243+#REF!+N245+#REF!</f>
        <v>#REF!</v>
      </c>
      <c r="O242" s="25" t="e">
        <f>O243+#REF!+O245+#REF!</f>
        <v>#REF!</v>
      </c>
      <c r="P242" s="27"/>
      <c r="Q242" s="27"/>
    </row>
    <row r="243" spans="1:17">
      <c r="A243" s="26"/>
      <c r="B243" s="55" t="s">
        <v>94</v>
      </c>
      <c r="C243" s="103">
        <v>1000</v>
      </c>
      <c r="D243" s="103"/>
      <c r="E243" s="103">
        <v>1000</v>
      </c>
      <c r="F243" s="103"/>
      <c r="G243" s="138">
        <v>1000</v>
      </c>
      <c r="H243" s="146">
        <f t="shared" si="50"/>
        <v>100</v>
      </c>
      <c r="I243" s="138">
        <v>1000</v>
      </c>
      <c r="J243" s="146">
        <f t="shared" si="51"/>
        <v>100</v>
      </c>
      <c r="K243" s="106"/>
      <c r="L243" s="105"/>
      <c r="M243" s="30"/>
      <c r="N243" s="31"/>
      <c r="O243" s="8"/>
      <c r="P243" s="7"/>
      <c r="Q243" s="7"/>
    </row>
    <row r="244" spans="1:17">
      <c r="A244" s="13"/>
      <c r="B244" s="55" t="s">
        <v>115</v>
      </c>
      <c r="C244" s="103">
        <v>500</v>
      </c>
      <c r="D244" s="103"/>
      <c r="E244" s="103">
        <v>500</v>
      </c>
      <c r="F244" s="103"/>
      <c r="G244" s="138">
        <v>488.44</v>
      </c>
      <c r="H244" s="146">
        <f t="shared" si="50"/>
        <v>97.688000000000002</v>
      </c>
      <c r="I244" s="138">
        <v>488.44</v>
      </c>
      <c r="J244" s="146">
        <f t="shared" si="51"/>
        <v>97.688000000000002</v>
      </c>
      <c r="K244" s="106"/>
      <c r="L244" s="105"/>
      <c r="M244" s="57"/>
      <c r="N244" s="34"/>
      <c r="O244" s="8"/>
      <c r="P244" s="8"/>
      <c r="Q244" s="8"/>
    </row>
    <row r="245" spans="1:17">
      <c r="A245" s="13"/>
      <c r="B245" s="55" t="s">
        <v>95</v>
      </c>
      <c r="C245" s="103">
        <v>1000</v>
      </c>
      <c r="D245" s="103" t="e">
        <f>#REF!+#REF!</f>
        <v>#REF!</v>
      </c>
      <c r="E245" s="103">
        <v>1000</v>
      </c>
      <c r="F245" s="103" t="s">
        <v>10</v>
      </c>
      <c r="G245" s="138">
        <v>985</v>
      </c>
      <c r="H245" s="146">
        <f t="shared" si="50"/>
        <v>98.5</v>
      </c>
      <c r="I245" s="138">
        <v>985</v>
      </c>
      <c r="J245" s="146">
        <f t="shared" si="51"/>
        <v>98.5</v>
      </c>
      <c r="K245" s="106"/>
      <c r="L245" s="105"/>
      <c r="M245" s="32" t="e">
        <f>#REF!+#REF!</f>
        <v>#REF!</v>
      </c>
      <c r="N245" s="33" t="e">
        <f>#REF!+#REF!</f>
        <v>#REF!</v>
      </c>
      <c r="O245" s="33" t="e">
        <f>#REF!+#REF!</f>
        <v>#REF!</v>
      </c>
      <c r="P245" s="33" t="e">
        <f>#REF!+#REF!</f>
        <v>#REF!</v>
      </c>
      <c r="Q245" s="33" t="e">
        <f>#REF!+#REF!</f>
        <v>#REF!</v>
      </c>
    </row>
    <row r="246" spans="1:17" s="29" customFormat="1">
      <c r="A246" s="26"/>
      <c r="B246" s="99" t="s">
        <v>18</v>
      </c>
      <c r="C246" s="100">
        <f>SUM(C247:C248)</f>
        <v>3589</v>
      </c>
      <c r="D246" s="100">
        <f>SUM(D247:D248)</f>
        <v>0</v>
      </c>
      <c r="E246" s="100">
        <f>SUM(E247:E248)</f>
        <v>3589</v>
      </c>
      <c r="F246" s="100" t="s">
        <v>10</v>
      </c>
      <c r="G246" s="136">
        <f>SUM(G247:G248)</f>
        <v>2114.66</v>
      </c>
      <c r="H246" s="149">
        <f t="shared" si="50"/>
        <v>58.920590693786565</v>
      </c>
      <c r="I246" s="136">
        <f>SUM(I247:I248)</f>
        <v>2114.66</v>
      </c>
      <c r="J246" s="149">
        <f t="shared" si="50"/>
        <v>58.920590693786565</v>
      </c>
      <c r="K246" s="107"/>
      <c r="L246" s="101"/>
      <c r="M246" s="14" t="e">
        <f>#REF!+#REF!+M247</f>
        <v>#REF!</v>
      </c>
      <c r="N246" s="14" t="e">
        <f>#REF!+#REF!+N247</f>
        <v>#REF!</v>
      </c>
      <c r="O246" s="14" t="e">
        <f>#REF!+#REF!+O247</f>
        <v>#REF!</v>
      </c>
      <c r="P246" s="14" t="e">
        <f>#REF!+#REF!+P247</f>
        <v>#REF!</v>
      </c>
      <c r="Q246" s="14" t="e">
        <f>#REF!+#REF!+Q247</f>
        <v>#REF!</v>
      </c>
    </row>
    <row r="247" spans="1:17">
      <c r="A247" s="13" t="s">
        <v>10</v>
      </c>
      <c r="B247" s="56" t="s">
        <v>70</v>
      </c>
      <c r="C247" s="103">
        <v>1927</v>
      </c>
      <c r="D247" s="103"/>
      <c r="E247" s="103">
        <v>1927</v>
      </c>
      <c r="F247" s="103"/>
      <c r="G247" s="138">
        <v>452.66</v>
      </c>
      <c r="H247" s="146">
        <f t="shared" si="50"/>
        <v>23.490399584846912</v>
      </c>
      <c r="I247" s="138">
        <v>452.66</v>
      </c>
      <c r="J247" s="146">
        <v>23.49</v>
      </c>
      <c r="K247" s="106"/>
      <c r="L247" s="105"/>
      <c r="M247" s="9"/>
      <c r="N247" s="10"/>
      <c r="O247" s="11"/>
      <c r="P247" s="7"/>
      <c r="Q247" s="7"/>
    </row>
    <row r="248" spans="1:17">
      <c r="A248" s="13"/>
      <c r="B248" s="56" t="s">
        <v>96</v>
      </c>
      <c r="C248" s="103">
        <v>1662</v>
      </c>
      <c r="D248" s="103"/>
      <c r="E248" s="103">
        <v>1662</v>
      </c>
      <c r="F248" s="103"/>
      <c r="G248" s="138">
        <v>1662</v>
      </c>
      <c r="H248" s="146">
        <f t="shared" si="50"/>
        <v>100</v>
      </c>
      <c r="I248" s="138">
        <v>1662</v>
      </c>
      <c r="J248" s="146">
        <f t="shared" si="50"/>
        <v>100</v>
      </c>
      <c r="K248" s="106"/>
      <c r="L248" s="105"/>
      <c r="M248" s="9"/>
      <c r="N248" s="10"/>
      <c r="O248" s="11"/>
      <c r="P248" s="7"/>
      <c r="Q248" s="7"/>
    </row>
    <row r="249" spans="1:17">
      <c r="A249" s="13"/>
      <c r="B249" s="112" t="s">
        <v>22</v>
      </c>
      <c r="C249" s="100">
        <f>SUM(C250:C251)</f>
        <v>263</v>
      </c>
      <c r="D249" s="100"/>
      <c r="E249" s="100">
        <f>SUM(E250:E251)</f>
        <v>263</v>
      </c>
      <c r="F249" s="103"/>
      <c r="G249" s="136">
        <f>SUM(G250+G251)</f>
        <v>204</v>
      </c>
      <c r="H249" s="149">
        <f t="shared" si="50"/>
        <v>77.566539923954366</v>
      </c>
      <c r="I249" s="136">
        <f>SUM(I250+I251)</f>
        <v>204</v>
      </c>
      <c r="J249" s="149">
        <f t="shared" si="51"/>
        <v>77.566539923954366</v>
      </c>
      <c r="K249" s="107"/>
      <c r="L249" s="105"/>
      <c r="M249" s="9"/>
      <c r="N249" s="10"/>
      <c r="O249" s="11"/>
      <c r="P249" s="7"/>
      <c r="Q249" s="7"/>
    </row>
    <row r="250" spans="1:17">
      <c r="A250" s="13"/>
      <c r="B250" s="113" t="s">
        <v>145</v>
      </c>
      <c r="C250" s="103">
        <v>190</v>
      </c>
      <c r="D250" s="103"/>
      <c r="E250" s="103">
        <v>190</v>
      </c>
      <c r="F250" s="103"/>
      <c r="G250" s="138">
        <v>134</v>
      </c>
      <c r="H250" s="146">
        <f t="shared" si="50"/>
        <v>70.526315789473685</v>
      </c>
      <c r="I250" s="138">
        <v>134</v>
      </c>
      <c r="J250" s="146">
        <f t="shared" si="51"/>
        <v>70.526315789473685</v>
      </c>
      <c r="K250" s="107"/>
      <c r="L250" s="105"/>
      <c r="M250" s="9"/>
      <c r="N250" s="10"/>
      <c r="O250" s="11"/>
      <c r="P250" s="7"/>
      <c r="Q250" s="7"/>
    </row>
    <row r="251" spans="1:17">
      <c r="A251" s="13"/>
      <c r="B251" s="113" t="s">
        <v>62</v>
      </c>
      <c r="C251" s="103">
        <v>73</v>
      </c>
      <c r="D251" s="103"/>
      <c r="E251" s="103">
        <v>73</v>
      </c>
      <c r="F251" s="103"/>
      <c r="G251" s="138">
        <v>70</v>
      </c>
      <c r="H251" s="146">
        <f t="shared" si="50"/>
        <v>95.890410958904098</v>
      </c>
      <c r="I251" s="138">
        <v>70</v>
      </c>
      <c r="J251" s="146">
        <f t="shared" si="51"/>
        <v>95.890410958904098</v>
      </c>
      <c r="K251" s="106"/>
      <c r="L251" s="105"/>
      <c r="M251" s="9"/>
      <c r="N251" s="10"/>
      <c r="O251" s="11"/>
      <c r="P251" s="7"/>
      <c r="Q251" s="7"/>
    </row>
    <row r="252" spans="1:17">
      <c r="A252" s="82" t="s">
        <v>131</v>
      </c>
      <c r="B252" s="118" t="s">
        <v>132</v>
      </c>
      <c r="C252" s="121">
        <v>89879</v>
      </c>
      <c r="D252" s="119"/>
      <c r="E252" s="121">
        <v>77569</v>
      </c>
      <c r="F252" s="121">
        <v>12310</v>
      </c>
      <c r="G252" s="145">
        <f>G253+G292</f>
        <v>91692.080000000016</v>
      </c>
      <c r="H252" s="147">
        <f>G252/C252*100</f>
        <v>102.01724540771484</v>
      </c>
      <c r="I252" s="145">
        <f>I253+I292</f>
        <v>79440.080000000016</v>
      </c>
      <c r="J252" s="147">
        <f>I252/E252*100</f>
        <v>102.41214918330779</v>
      </c>
      <c r="K252" s="145">
        <v>12252</v>
      </c>
      <c r="L252" s="147">
        <f>K252/F252*100</f>
        <v>99.528838342810715</v>
      </c>
      <c r="M252" s="9"/>
      <c r="N252" s="10"/>
      <c r="O252" s="11"/>
      <c r="P252" s="7"/>
      <c r="Q252" s="7"/>
    </row>
    <row r="253" spans="1:17">
      <c r="A253" s="13"/>
      <c r="B253" s="97" t="s">
        <v>97</v>
      </c>
      <c r="C253" s="98">
        <f>C254+C256+C258+C260+C267+C274+C277+C287+C289</f>
        <v>44939</v>
      </c>
      <c r="D253" s="98" t="e">
        <f>D254+D256+D258+D260+D267+D274+D277+D287</f>
        <v>#REF!</v>
      </c>
      <c r="E253" s="98">
        <f>E254+E256+E258+E260+E267+E274+E277+E287+E289</f>
        <v>38784</v>
      </c>
      <c r="F253" s="98">
        <f>F289</f>
        <v>6155</v>
      </c>
      <c r="G253" s="135">
        <f>G254+G256+G258+G260+G267+G274+G277+G287+G289</f>
        <v>45948.320000000007</v>
      </c>
      <c r="H253" s="135">
        <f>G253/C253*100</f>
        <v>102.24597788112777</v>
      </c>
      <c r="I253" s="135">
        <f>I254+I256+I258+I260+I267+I274+I277+I287+I289</f>
        <v>39822.320000000007</v>
      </c>
      <c r="J253" s="135">
        <f>I253/E253*100</f>
        <v>102.67718646864688</v>
      </c>
      <c r="K253" s="135">
        <v>6126</v>
      </c>
      <c r="L253" s="135">
        <f>K253/F253*100</f>
        <v>99.528838342810715</v>
      </c>
      <c r="M253" s="78" t="e">
        <f>M254+M256+M258+M260+M267+M274+M277+M287</f>
        <v>#REF!</v>
      </c>
      <c r="N253" s="78" t="e">
        <f>N254+N256+N258+N260+N267+N274+N277+N287</f>
        <v>#REF!</v>
      </c>
      <c r="O253" s="78" t="e">
        <f>O254+O256+O258+O260+O267+O274+O277+O287</f>
        <v>#REF!</v>
      </c>
      <c r="P253" s="78" t="e">
        <f>P254+P256+P258+P260+P267+P274+P277+P287</f>
        <v>#REF!</v>
      </c>
      <c r="Q253" s="78" t="e">
        <f>Q254+Q256+Q258+Q260+Q267+Q274+Q277+Q287</f>
        <v>#REF!</v>
      </c>
    </row>
    <row r="254" spans="1:17">
      <c r="A254" s="13"/>
      <c r="B254" s="99" t="s">
        <v>11</v>
      </c>
      <c r="C254" s="100">
        <f>SUM(C255:C255)</f>
        <v>19718</v>
      </c>
      <c r="D254" s="100" t="e">
        <f>#REF!</f>
        <v>#REF!</v>
      </c>
      <c r="E254" s="100">
        <f>SUM(E255:E255)</f>
        <v>19718</v>
      </c>
      <c r="F254" s="100"/>
      <c r="G254" s="136">
        <f>SUM(G255)</f>
        <v>20495.63</v>
      </c>
      <c r="H254" s="149">
        <f t="shared" ref="H254:J288" si="52">G254/C254*100</f>
        <v>103.94375697332387</v>
      </c>
      <c r="I254" s="136">
        <f>SUM(I255)</f>
        <v>20495.63</v>
      </c>
      <c r="J254" s="149">
        <f t="shared" si="51"/>
        <v>103.94375697332387</v>
      </c>
      <c r="K254" s="104"/>
      <c r="L254" s="101"/>
      <c r="M254" s="15" t="e">
        <f>#REF!</f>
        <v>#REF!</v>
      </c>
      <c r="N254" s="16" t="e">
        <f>#REF!</f>
        <v>#REF!</v>
      </c>
      <c r="O254" s="16" t="e">
        <f>#REF!</f>
        <v>#REF!</v>
      </c>
      <c r="P254" s="7"/>
      <c r="Q254" s="7"/>
    </row>
    <row r="255" spans="1:17" s="3" customFormat="1">
      <c r="A255" s="13"/>
      <c r="B255" s="55" t="s">
        <v>123</v>
      </c>
      <c r="C255" s="103">
        <v>19718</v>
      </c>
      <c r="D255" s="103"/>
      <c r="E255" s="103">
        <v>19718</v>
      </c>
      <c r="F255" s="103"/>
      <c r="G255" s="141">
        <v>20495.63</v>
      </c>
      <c r="H255" s="146">
        <f t="shared" si="52"/>
        <v>103.94375697332387</v>
      </c>
      <c r="I255" s="141">
        <v>20495.63</v>
      </c>
      <c r="J255" s="146">
        <f t="shared" si="51"/>
        <v>103.94375697332387</v>
      </c>
      <c r="K255" s="104"/>
      <c r="L255" s="105"/>
      <c r="M255" s="46"/>
      <c r="N255" s="47"/>
      <c r="O255" s="48"/>
      <c r="P255" s="55"/>
      <c r="Q255" s="55"/>
    </row>
    <row r="256" spans="1:17">
      <c r="A256" s="13"/>
      <c r="B256" s="99" t="s">
        <v>13</v>
      </c>
      <c r="C256" s="100">
        <f>SUM(C257:C257)</f>
        <v>6892</v>
      </c>
      <c r="D256" s="100">
        <f>SUM(D257:D257)</f>
        <v>0</v>
      </c>
      <c r="E256" s="100">
        <f>SUM(E257:E257)</f>
        <v>6892</v>
      </c>
      <c r="F256" s="103"/>
      <c r="G256" s="136">
        <f>SUM(G257)</f>
        <v>7118.85</v>
      </c>
      <c r="H256" s="149">
        <f t="shared" si="52"/>
        <v>103.29149738827627</v>
      </c>
      <c r="I256" s="136">
        <f>SUM(I257)</f>
        <v>7118.85</v>
      </c>
      <c r="J256" s="149">
        <f t="shared" si="51"/>
        <v>103.29149738827627</v>
      </c>
      <c r="K256" s="101"/>
      <c r="L256" s="101"/>
      <c r="M256" s="15"/>
      <c r="N256" s="16"/>
      <c r="O256" s="22"/>
      <c r="P256" s="7"/>
      <c r="Q256" s="7"/>
    </row>
    <row r="257" spans="1:17" s="3" customFormat="1">
      <c r="A257" s="13"/>
      <c r="B257" s="102" t="s">
        <v>122</v>
      </c>
      <c r="C257" s="103">
        <v>6892</v>
      </c>
      <c r="D257" s="103"/>
      <c r="E257" s="103">
        <v>6892</v>
      </c>
      <c r="F257" s="103"/>
      <c r="G257" s="141">
        <v>7118.85</v>
      </c>
      <c r="H257" s="146">
        <f t="shared" si="52"/>
        <v>103.29149738827627</v>
      </c>
      <c r="I257" s="141">
        <v>7118.85</v>
      </c>
      <c r="J257" s="146">
        <f t="shared" si="51"/>
        <v>103.29149738827627</v>
      </c>
      <c r="K257" s="104"/>
      <c r="L257" s="105"/>
      <c r="M257" s="46"/>
      <c r="N257" s="47"/>
      <c r="O257" s="48"/>
      <c r="P257" s="55"/>
      <c r="Q257" s="55"/>
    </row>
    <row r="258" spans="1:17" s="29" customFormat="1">
      <c r="A258" s="26"/>
      <c r="B258" s="28" t="s">
        <v>14</v>
      </c>
      <c r="C258" s="100">
        <f>SUM(C259:C259)</f>
        <v>25</v>
      </c>
      <c r="D258" s="100">
        <f t="shared" ref="D258:Q258" si="53">D259</f>
        <v>0</v>
      </c>
      <c r="E258" s="100">
        <f>SUM(E259:E259)</f>
        <v>25</v>
      </c>
      <c r="F258" s="100"/>
      <c r="G258" s="136">
        <v>5.22</v>
      </c>
      <c r="H258" s="149">
        <f t="shared" si="52"/>
        <v>20.88</v>
      </c>
      <c r="I258" s="136">
        <v>5.22</v>
      </c>
      <c r="J258" s="149">
        <f t="shared" si="52"/>
        <v>20.88</v>
      </c>
      <c r="K258" s="104"/>
      <c r="L258" s="101"/>
      <c r="M258" s="150">
        <f t="shared" si="53"/>
        <v>0</v>
      </c>
      <c r="N258" s="14">
        <f t="shared" si="53"/>
        <v>0</v>
      </c>
      <c r="O258" s="14">
        <f t="shared" si="53"/>
        <v>0</v>
      </c>
      <c r="P258" s="14">
        <f t="shared" si="53"/>
        <v>0</v>
      </c>
      <c r="Q258" s="14">
        <f t="shared" si="53"/>
        <v>0</v>
      </c>
    </row>
    <row r="259" spans="1:17">
      <c r="A259" s="13"/>
      <c r="B259" s="56" t="s">
        <v>98</v>
      </c>
      <c r="C259" s="103">
        <v>25</v>
      </c>
      <c r="D259" s="103"/>
      <c r="E259" s="103">
        <v>25</v>
      </c>
      <c r="F259" s="100"/>
      <c r="G259" s="141">
        <v>5.22</v>
      </c>
      <c r="H259" s="146">
        <f t="shared" si="52"/>
        <v>20.88</v>
      </c>
      <c r="I259" s="141">
        <v>5.22</v>
      </c>
      <c r="J259" s="146">
        <f t="shared" si="52"/>
        <v>20.88</v>
      </c>
      <c r="K259" s="104"/>
      <c r="L259" s="105"/>
      <c r="M259" s="6"/>
      <c r="N259" s="7"/>
      <c r="O259" s="8"/>
      <c r="P259" s="7"/>
      <c r="Q259" s="7"/>
    </row>
    <row r="260" spans="1:17" s="29" customFormat="1">
      <c r="A260" s="26"/>
      <c r="B260" s="99" t="s">
        <v>16</v>
      </c>
      <c r="C260" s="100">
        <f>SUM(C261:C266)</f>
        <v>7974</v>
      </c>
      <c r="D260" s="100" t="e">
        <f>SUM(D261:D266)</f>
        <v>#REF!</v>
      </c>
      <c r="E260" s="100">
        <f>SUM(E261:E266)</f>
        <v>7974</v>
      </c>
      <c r="F260" s="100"/>
      <c r="G260" s="136">
        <f>SUM(G261:G266)</f>
        <v>7943.58</v>
      </c>
      <c r="H260" s="149">
        <f t="shared" si="52"/>
        <v>99.618510158013535</v>
      </c>
      <c r="I260" s="136">
        <f>SUM(I261:I266)</f>
        <v>7943.58</v>
      </c>
      <c r="J260" s="149">
        <f t="shared" si="51"/>
        <v>99.618510158013535</v>
      </c>
      <c r="K260" s="110"/>
      <c r="L260" s="101"/>
      <c r="M260" s="23" t="e">
        <f>M261+M264+M266+#REF!</f>
        <v>#REF!</v>
      </c>
      <c r="N260" s="24" t="e">
        <f>N261+N264+N266+#REF!</f>
        <v>#REF!</v>
      </c>
      <c r="O260" s="25" t="e">
        <f>O261+O264+O266+#REF!</f>
        <v>#REF!</v>
      </c>
      <c r="P260" s="27"/>
      <c r="Q260" s="27"/>
    </row>
    <row r="261" spans="1:17">
      <c r="A261" s="26"/>
      <c r="B261" s="55" t="s">
        <v>39</v>
      </c>
      <c r="C261" s="103">
        <v>3290</v>
      </c>
      <c r="D261" s="103"/>
      <c r="E261" s="103">
        <v>3290</v>
      </c>
      <c r="F261" s="103"/>
      <c r="G261" s="141">
        <v>3589.06</v>
      </c>
      <c r="H261" s="146">
        <f t="shared" si="52"/>
        <v>109.08996960486321</v>
      </c>
      <c r="I261" s="141">
        <v>3589.06</v>
      </c>
      <c r="J261" s="146">
        <f t="shared" si="51"/>
        <v>109.08996960486321</v>
      </c>
      <c r="K261" s="104"/>
      <c r="L261" s="105"/>
      <c r="M261" s="30"/>
      <c r="N261" s="31"/>
      <c r="O261" s="8"/>
      <c r="P261" s="7"/>
      <c r="Q261" s="7"/>
    </row>
    <row r="262" spans="1:17">
      <c r="A262" s="26"/>
      <c r="B262" s="55" t="s">
        <v>38</v>
      </c>
      <c r="C262" s="103">
        <v>1780</v>
      </c>
      <c r="D262" s="103"/>
      <c r="E262" s="103">
        <v>1780</v>
      </c>
      <c r="F262" s="103"/>
      <c r="G262" s="141">
        <v>1780</v>
      </c>
      <c r="H262" s="146">
        <f t="shared" si="52"/>
        <v>100</v>
      </c>
      <c r="I262" s="141">
        <v>1780</v>
      </c>
      <c r="J262" s="146">
        <f t="shared" si="51"/>
        <v>100</v>
      </c>
      <c r="K262" s="104"/>
      <c r="L262" s="105"/>
      <c r="M262" s="30"/>
      <c r="N262" s="31"/>
      <c r="O262" s="8"/>
      <c r="P262" s="7"/>
      <c r="Q262" s="7"/>
    </row>
    <row r="263" spans="1:17">
      <c r="A263" s="26"/>
      <c r="B263" s="55" t="s">
        <v>40</v>
      </c>
      <c r="C263" s="103">
        <v>890</v>
      </c>
      <c r="D263" s="103"/>
      <c r="E263" s="103">
        <v>890</v>
      </c>
      <c r="F263" s="103"/>
      <c r="G263" s="141">
        <v>576.64</v>
      </c>
      <c r="H263" s="146">
        <f t="shared" si="52"/>
        <v>64.791011235955054</v>
      </c>
      <c r="I263" s="141">
        <v>576.64</v>
      </c>
      <c r="J263" s="146">
        <f t="shared" si="51"/>
        <v>64.791011235955054</v>
      </c>
      <c r="K263" s="104"/>
      <c r="L263" s="105"/>
      <c r="M263" s="30"/>
      <c r="N263" s="31"/>
      <c r="O263" s="8"/>
      <c r="P263" s="7"/>
      <c r="Q263" s="7"/>
    </row>
    <row r="264" spans="1:17">
      <c r="A264" s="13"/>
      <c r="B264" s="55" t="s">
        <v>87</v>
      </c>
      <c r="C264" s="103">
        <f t="shared" ref="C264" si="54">E264+F264</f>
        <v>1800</v>
      </c>
      <c r="D264" s="103"/>
      <c r="E264" s="103">
        <v>1800</v>
      </c>
      <c r="F264" s="103"/>
      <c r="G264" s="141">
        <v>1800</v>
      </c>
      <c r="H264" s="146">
        <f t="shared" si="52"/>
        <v>100</v>
      </c>
      <c r="I264" s="141">
        <v>1800</v>
      </c>
      <c r="J264" s="146">
        <f t="shared" si="51"/>
        <v>100</v>
      </c>
      <c r="K264" s="104"/>
      <c r="L264" s="105"/>
      <c r="M264" s="30"/>
      <c r="N264" s="31"/>
      <c r="O264" s="8"/>
      <c r="P264" s="7"/>
      <c r="Q264" s="7"/>
    </row>
    <row r="265" spans="1:17">
      <c r="A265" s="13"/>
      <c r="B265" s="55" t="s">
        <v>41</v>
      </c>
      <c r="C265" s="103">
        <v>14</v>
      </c>
      <c r="D265" s="103"/>
      <c r="E265" s="103">
        <v>14</v>
      </c>
      <c r="F265" s="103"/>
      <c r="G265" s="141">
        <v>14</v>
      </c>
      <c r="H265" s="146">
        <f t="shared" si="52"/>
        <v>100</v>
      </c>
      <c r="I265" s="141">
        <v>14</v>
      </c>
      <c r="J265" s="146">
        <f t="shared" si="51"/>
        <v>100</v>
      </c>
      <c r="K265" s="104"/>
      <c r="L265" s="105"/>
      <c r="M265" s="57"/>
      <c r="N265" s="34"/>
      <c r="O265" s="8"/>
      <c r="P265" s="8"/>
      <c r="Q265" s="8"/>
    </row>
    <row r="266" spans="1:17">
      <c r="A266" s="13"/>
      <c r="B266" s="55" t="s">
        <v>99</v>
      </c>
      <c r="C266" s="103">
        <v>200</v>
      </c>
      <c r="D266" s="103" t="e">
        <f>#REF!+#REF!</f>
        <v>#REF!</v>
      </c>
      <c r="E266" s="103">
        <v>200</v>
      </c>
      <c r="F266" s="103" t="s">
        <v>10</v>
      </c>
      <c r="G266" s="141">
        <v>183.88</v>
      </c>
      <c r="H266" s="146">
        <f t="shared" si="52"/>
        <v>91.94</v>
      </c>
      <c r="I266" s="141">
        <v>183.88</v>
      </c>
      <c r="J266" s="146">
        <f t="shared" si="51"/>
        <v>91.94</v>
      </c>
      <c r="K266" s="104"/>
      <c r="L266" s="105"/>
      <c r="M266" s="32" t="e">
        <f>#REF!+#REF!</f>
        <v>#REF!</v>
      </c>
      <c r="N266" s="33" t="e">
        <f>#REF!+#REF!</f>
        <v>#REF!</v>
      </c>
      <c r="O266" s="33" t="e">
        <f>#REF!+#REF!</f>
        <v>#REF!</v>
      </c>
      <c r="P266" s="33" t="e">
        <f>#REF!+#REF!</f>
        <v>#REF!</v>
      </c>
      <c r="Q266" s="33" t="e">
        <f>#REF!+#REF!</f>
        <v>#REF!</v>
      </c>
    </row>
    <row r="267" spans="1:17" s="29" customFormat="1">
      <c r="A267" s="26"/>
      <c r="B267" s="99" t="s">
        <v>18</v>
      </c>
      <c r="C267" s="100">
        <f>SUM(C268:C273)</f>
        <v>1805</v>
      </c>
      <c r="D267" s="100" t="e">
        <f>SUM(D268:D273)</f>
        <v>#REF!</v>
      </c>
      <c r="E267" s="100">
        <f>SUM(E268:E273)</f>
        <v>1805</v>
      </c>
      <c r="F267" s="100" t="s">
        <v>10</v>
      </c>
      <c r="G267" s="136">
        <f>SUM(G268:G273)</f>
        <v>1711.6799999999998</v>
      </c>
      <c r="H267" s="149">
        <f t="shared" si="52"/>
        <v>94.829916897506919</v>
      </c>
      <c r="I267" s="136">
        <f>SUM(I268:I273)</f>
        <v>1711.6799999999998</v>
      </c>
      <c r="J267" s="149">
        <f t="shared" si="51"/>
        <v>94.829916897506919</v>
      </c>
      <c r="K267" s="110"/>
      <c r="L267" s="101"/>
      <c r="M267" s="150" t="e">
        <f t="shared" ref="M267:Q267" si="55">SUM(M268:M272)</f>
        <v>#REF!</v>
      </c>
      <c r="N267" s="14" t="e">
        <f t="shared" si="55"/>
        <v>#REF!</v>
      </c>
      <c r="O267" s="14" t="e">
        <f t="shared" si="55"/>
        <v>#REF!</v>
      </c>
      <c r="P267" s="14">
        <f t="shared" si="55"/>
        <v>0</v>
      </c>
      <c r="Q267" s="14">
        <f t="shared" si="55"/>
        <v>0</v>
      </c>
    </row>
    <row r="268" spans="1:17" s="3" customFormat="1">
      <c r="A268" s="13"/>
      <c r="B268" s="102" t="s">
        <v>44</v>
      </c>
      <c r="C268" s="103">
        <f>E268+F268</f>
        <v>50</v>
      </c>
      <c r="D268" s="103"/>
      <c r="E268" s="103">
        <v>50</v>
      </c>
      <c r="F268" s="103"/>
      <c r="G268" s="141">
        <v>50</v>
      </c>
      <c r="H268" s="146">
        <f t="shared" si="52"/>
        <v>100</v>
      </c>
      <c r="I268" s="141">
        <v>50</v>
      </c>
      <c r="J268" s="146">
        <f t="shared" si="52"/>
        <v>100</v>
      </c>
      <c r="K268" s="104"/>
      <c r="L268" s="105"/>
      <c r="M268" s="59"/>
      <c r="N268" s="5"/>
      <c r="O268" s="60"/>
      <c r="P268" s="5"/>
      <c r="Q268" s="5"/>
    </row>
    <row r="269" spans="1:17" s="3" customFormat="1">
      <c r="A269" s="13"/>
      <c r="B269" s="102" t="s">
        <v>100</v>
      </c>
      <c r="C269" s="103">
        <f t="shared" ref="C269:C273" si="56">E269+F269</f>
        <v>200</v>
      </c>
      <c r="D269" s="103"/>
      <c r="E269" s="103">
        <v>200</v>
      </c>
      <c r="F269" s="103"/>
      <c r="G269" s="141">
        <v>200</v>
      </c>
      <c r="H269" s="146">
        <f t="shared" si="52"/>
        <v>100</v>
      </c>
      <c r="I269" s="141">
        <v>200</v>
      </c>
      <c r="J269" s="146">
        <f t="shared" si="51"/>
        <v>100</v>
      </c>
      <c r="K269" s="104"/>
      <c r="L269" s="105"/>
      <c r="M269" s="59"/>
      <c r="N269" s="5"/>
      <c r="O269" s="60"/>
      <c r="P269" s="5"/>
      <c r="Q269" s="5"/>
    </row>
    <row r="270" spans="1:17" s="3" customFormat="1">
      <c r="A270" s="13"/>
      <c r="B270" s="102" t="s">
        <v>101</v>
      </c>
      <c r="C270" s="103">
        <v>750</v>
      </c>
      <c r="D270" s="103"/>
      <c r="E270" s="103">
        <v>750</v>
      </c>
      <c r="F270" s="103"/>
      <c r="G270" s="141">
        <v>615</v>
      </c>
      <c r="H270" s="146">
        <f t="shared" si="52"/>
        <v>82</v>
      </c>
      <c r="I270" s="141">
        <v>615</v>
      </c>
      <c r="J270" s="146">
        <f t="shared" si="51"/>
        <v>82</v>
      </c>
      <c r="K270" s="104"/>
      <c r="L270" s="105"/>
      <c r="M270" s="59"/>
      <c r="N270" s="5"/>
      <c r="O270" s="60"/>
      <c r="P270" s="5"/>
      <c r="Q270" s="5"/>
    </row>
    <row r="271" spans="1:17">
      <c r="A271" s="13"/>
      <c r="B271" s="55" t="s">
        <v>46</v>
      </c>
      <c r="C271" s="103">
        <v>725</v>
      </c>
      <c r="D271" s="103" t="e">
        <f>SUM(#REF!)</f>
        <v>#REF!</v>
      </c>
      <c r="E271" s="103">
        <v>725</v>
      </c>
      <c r="F271" s="103"/>
      <c r="G271" s="141">
        <v>766.68</v>
      </c>
      <c r="H271" s="146">
        <f t="shared" si="52"/>
        <v>105.74896551724137</v>
      </c>
      <c r="I271" s="141">
        <v>766.68</v>
      </c>
      <c r="J271" s="146">
        <f t="shared" si="51"/>
        <v>105.74896551724137</v>
      </c>
      <c r="K271" s="104"/>
      <c r="L271" s="105"/>
      <c r="M271" s="9" t="e">
        <f>SUM(#REF!)</f>
        <v>#REF!</v>
      </c>
      <c r="N271" s="10" t="e">
        <f>SUM(#REF!)</f>
        <v>#REF!</v>
      </c>
      <c r="O271" s="34" t="e">
        <f>SUM(#REF!)</f>
        <v>#REF!</v>
      </c>
      <c r="P271" s="7"/>
      <c r="Q271" s="7"/>
    </row>
    <row r="272" spans="1:17">
      <c r="A272" s="13"/>
      <c r="B272" s="55" t="s">
        <v>102</v>
      </c>
      <c r="C272" s="103">
        <f t="shared" si="56"/>
        <v>55</v>
      </c>
      <c r="D272" s="103"/>
      <c r="E272" s="103">
        <v>55</v>
      </c>
      <c r="F272" s="103"/>
      <c r="G272" s="141">
        <v>55</v>
      </c>
      <c r="H272" s="146">
        <f t="shared" si="52"/>
        <v>100</v>
      </c>
      <c r="I272" s="141">
        <v>55</v>
      </c>
      <c r="J272" s="146">
        <f t="shared" si="51"/>
        <v>100</v>
      </c>
      <c r="K272" s="104"/>
      <c r="L272" s="105"/>
      <c r="M272" s="9"/>
      <c r="N272" s="10"/>
      <c r="O272" s="11"/>
      <c r="P272" s="7"/>
      <c r="Q272" s="7"/>
    </row>
    <row r="273" spans="1:17">
      <c r="A273" s="13" t="s">
        <v>10</v>
      </c>
      <c r="B273" s="56" t="s">
        <v>103</v>
      </c>
      <c r="C273" s="103">
        <f t="shared" si="56"/>
        <v>25</v>
      </c>
      <c r="D273" s="103"/>
      <c r="E273" s="103">
        <v>25</v>
      </c>
      <c r="F273" s="103"/>
      <c r="G273" s="141">
        <v>25</v>
      </c>
      <c r="H273" s="146">
        <f t="shared" si="52"/>
        <v>100</v>
      </c>
      <c r="I273" s="141">
        <v>25</v>
      </c>
      <c r="J273" s="146">
        <f t="shared" si="51"/>
        <v>100</v>
      </c>
      <c r="K273" s="104"/>
      <c r="L273" s="105"/>
      <c r="M273" s="9"/>
      <c r="N273" s="10"/>
      <c r="O273" s="11"/>
      <c r="P273" s="7"/>
      <c r="Q273" s="7"/>
    </row>
    <row r="274" spans="1:17" s="29" customFormat="1">
      <c r="A274" s="26"/>
      <c r="B274" s="28" t="s">
        <v>20</v>
      </c>
      <c r="C274" s="100">
        <f>SUM(C275:C276)</f>
        <v>880</v>
      </c>
      <c r="D274" s="100"/>
      <c r="E274" s="100">
        <f>SUM(E275:E276)</f>
        <v>880</v>
      </c>
      <c r="F274" s="100"/>
      <c r="G274" s="136">
        <f>SUM(G275+G276)</f>
        <v>880</v>
      </c>
      <c r="H274" s="149">
        <f t="shared" si="52"/>
        <v>100</v>
      </c>
      <c r="I274" s="136">
        <f>SUM(I275+I276)</f>
        <v>880</v>
      </c>
      <c r="J274" s="149">
        <f t="shared" si="51"/>
        <v>100</v>
      </c>
      <c r="K274" s="104"/>
      <c r="L274" s="101"/>
      <c r="M274" s="23"/>
      <c r="N274" s="24"/>
      <c r="O274" s="25"/>
      <c r="P274" s="27"/>
      <c r="Q274" s="27"/>
    </row>
    <row r="275" spans="1:17" s="29" customFormat="1">
      <c r="A275" s="26"/>
      <c r="B275" s="56" t="s">
        <v>146</v>
      </c>
      <c r="C275" s="103">
        <v>380</v>
      </c>
      <c r="D275" s="103"/>
      <c r="E275" s="103">
        <v>380</v>
      </c>
      <c r="F275" s="100"/>
      <c r="G275" s="141">
        <v>380</v>
      </c>
      <c r="H275" s="146">
        <f t="shared" si="52"/>
        <v>100</v>
      </c>
      <c r="I275" s="141">
        <v>380</v>
      </c>
      <c r="J275" s="146">
        <f t="shared" si="52"/>
        <v>100</v>
      </c>
      <c r="K275" s="104"/>
      <c r="L275" s="101"/>
      <c r="M275" s="23"/>
      <c r="N275" s="24"/>
      <c r="O275" s="25"/>
      <c r="P275" s="27"/>
      <c r="Q275" s="27"/>
    </row>
    <row r="276" spans="1:17">
      <c r="A276" s="13"/>
      <c r="B276" s="56" t="s">
        <v>104</v>
      </c>
      <c r="C276" s="103">
        <f t="shared" ref="C276:C285" si="57">E276</f>
        <v>500</v>
      </c>
      <c r="D276" s="103"/>
      <c r="E276" s="103">
        <v>500</v>
      </c>
      <c r="F276" s="103"/>
      <c r="G276" s="141">
        <v>500</v>
      </c>
      <c r="H276" s="146">
        <f t="shared" si="52"/>
        <v>100</v>
      </c>
      <c r="I276" s="141">
        <v>500</v>
      </c>
      <c r="J276" s="146">
        <f t="shared" si="51"/>
        <v>100</v>
      </c>
      <c r="K276" s="104"/>
      <c r="L276" s="105"/>
      <c r="M276" s="9"/>
      <c r="N276" s="10"/>
      <c r="O276" s="11"/>
      <c r="P276" s="7"/>
      <c r="Q276" s="7"/>
    </row>
    <row r="277" spans="1:17" s="29" customFormat="1">
      <c r="A277" s="26"/>
      <c r="B277" s="99" t="s">
        <v>22</v>
      </c>
      <c r="C277" s="100">
        <f>SUM(C278:C286)</f>
        <v>1390</v>
      </c>
      <c r="D277" s="100">
        <f>SUM(D278:D283)</f>
        <v>0</v>
      </c>
      <c r="E277" s="100">
        <f>SUM(E278:E286)</f>
        <v>1390</v>
      </c>
      <c r="F277" s="100" t="s">
        <v>10</v>
      </c>
      <c r="G277" s="136">
        <f>SUM(G278:G286)</f>
        <v>1573.99</v>
      </c>
      <c r="H277" s="149">
        <f t="shared" si="52"/>
        <v>113.23669064748201</v>
      </c>
      <c r="I277" s="136">
        <f>SUM(I278:I286)</f>
        <v>1573.99</v>
      </c>
      <c r="J277" s="149">
        <f t="shared" si="51"/>
        <v>113.23669064748201</v>
      </c>
      <c r="K277" s="101"/>
      <c r="L277" s="101"/>
      <c r="M277" s="14" t="e">
        <f>#REF!+#REF!+#REF!+#REF!+#REF!+#REF!+#REF!+#REF!+#REF!+#REF!+#REF!+#REF!+M283+#REF!+#REF!+#REF!+#REF!+#REF!+#REF!+#REF!+#REF!</f>
        <v>#REF!</v>
      </c>
      <c r="N277" s="14" t="e">
        <f>#REF!+#REF!+#REF!+#REF!+#REF!+#REF!+#REF!+#REF!+#REF!+#REF!+#REF!+#REF!+N283+#REF!+#REF!+#REF!+#REF!+#REF!+#REF!+#REF!+#REF!</f>
        <v>#REF!</v>
      </c>
      <c r="O277" s="14" t="e">
        <f>#REF!+#REF!+#REF!+#REF!+#REF!+#REF!+#REF!+#REF!+#REF!+#REF!+#REF!+#REF!+O283+#REF!+#REF!+#REF!+#REF!+#REF!+#REF!+#REF!+#REF!</f>
        <v>#REF!</v>
      </c>
      <c r="P277" s="14" t="e">
        <f>#REF!+#REF!+#REF!+#REF!+#REF!+#REF!+#REF!+#REF!+#REF!+#REF!+#REF!+#REF!+P283+#REF!+#REF!+#REF!+#REF!+#REF!+#REF!+#REF!+#REF!</f>
        <v>#REF!</v>
      </c>
      <c r="Q277" s="14" t="e">
        <f>#REF!+#REF!+#REF!+#REF!+#REF!+#REF!+#REF!+#REF!+#REF!+#REF!+#REF!+#REF!+Q283+#REF!+#REF!+#REF!+#REF!+#REF!+#REF!+#REF!+#REF!</f>
        <v>#REF!</v>
      </c>
    </row>
    <row r="278" spans="1:17">
      <c r="A278" s="58"/>
      <c r="B278" s="55" t="s">
        <v>105</v>
      </c>
      <c r="C278" s="103">
        <v>65</v>
      </c>
      <c r="D278" s="103"/>
      <c r="E278" s="103">
        <v>65</v>
      </c>
      <c r="F278" s="103"/>
      <c r="G278" s="141">
        <v>60.96</v>
      </c>
      <c r="H278" s="146">
        <f t="shared" si="52"/>
        <v>93.784615384615392</v>
      </c>
      <c r="I278" s="141">
        <v>60.96</v>
      </c>
      <c r="J278" s="146">
        <f t="shared" si="51"/>
        <v>93.784615384615392</v>
      </c>
      <c r="K278" s="104"/>
      <c r="L278" s="105"/>
      <c r="M278" s="9"/>
      <c r="N278" s="10"/>
      <c r="O278" s="8"/>
      <c r="P278" s="7"/>
      <c r="Q278" s="7"/>
    </row>
    <row r="279" spans="1:17">
      <c r="A279" s="58"/>
      <c r="B279" s="55" t="s">
        <v>106</v>
      </c>
      <c r="C279" s="103">
        <f t="shared" si="57"/>
        <v>270</v>
      </c>
      <c r="D279" s="103"/>
      <c r="E279" s="103">
        <v>270</v>
      </c>
      <c r="F279" s="103"/>
      <c r="G279" s="141">
        <v>266.5</v>
      </c>
      <c r="H279" s="146">
        <f t="shared" si="52"/>
        <v>98.703703703703709</v>
      </c>
      <c r="I279" s="141">
        <v>266.5</v>
      </c>
      <c r="J279" s="146">
        <f t="shared" si="51"/>
        <v>98.703703703703709</v>
      </c>
      <c r="K279" s="104"/>
      <c r="L279" s="105"/>
      <c r="M279" s="9"/>
      <c r="N279" s="10"/>
      <c r="O279" s="8"/>
      <c r="P279" s="7"/>
      <c r="Q279" s="7"/>
    </row>
    <row r="280" spans="1:17">
      <c r="A280" s="58"/>
      <c r="B280" s="55" t="s">
        <v>58</v>
      </c>
      <c r="C280" s="103">
        <v>180</v>
      </c>
      <c r="D280" s="103"/>
      <c r="E280" s="103">
        <v>180</v>
      </c>
      <c r="F280" s="103"/>
      <c r="G280" s="141">
        <v>180</v>
      </c>
      <c r="H280" s="146">
        <f t="shared" si="51"/>
        <v>100</v>
      </c>
      <c r="I280" s="141">
        <v>180</v>
      </c>
      <c r="J280" s="146">
        <f t="shared" si="51"/>
        <v>100</v>
      </c>
      <c r="K280" s="104"/>
      <c r="L280" s="105"/>
      <c r="M280" s="9"/>
      <c r="N280" s="10"/>
      <c r="O280" s="8"/>
      <c r="P280" s="7"/>
      <c r="Q280" s="7"/>
    </row>
    <row r="281" spans="1:17">
      <c r="A281" s="58"/>
      <c r="B281" s="55" t="s">
        <v>147</v>
      </c>
      <c r="C281" s="103">
        <v>50</v>
      </c>
      <c r="D281" s="103"/>
      <c r="E281" s="103">
        <v>50</v>
      </c>
      <c r="F281" s="103"/>
      <c r="G281" s="141">
        <v>50</v>
      </c>
      <c r="H281" s="146">
        <f t="shared" si="51"/>
        <v>100</v>
      </c>
      <c r="I281" s="141">
        <v>50</v>
      </c>
      <c r="J281" s="146">
        <f t="shared" si="51"/>
        <v>100</v>
      </c>
      <c r="K281" s="104"/>
      <c r="L281" s="105"/>
      <c r="M281" s="9"/>
      <c r="N281" s="10"/>
      <c r="O281" s="8"/>
      <c r="P281" s="7"/>
      <c r="Q281" s="7"/>
    </row>
    <row r="282" spans="1:17">
      <c r="A282" s="58"/>
      <c r="B282" s="55" t="s">
        <v>107</v>
      </c>
      <c r="C282" s="103">
        <f t="shared" si="57"/>
        <v>100</v>
      </c>
      <c r="D282" s="103"/>
      <c r="E282" s="103">
        <v>100</v>
      </c>
      <c r="F282" s="103"/>
      <c r="G282" s="141">
        <v>106.91</v>
      </c>
      <c r="H282" s="146">
        <f t="shared" si="52"/>
        <v>106.91</v>
      </c>
      <c r="I282" s="141">
        <v>106.91</v>
      </c>
      <c r="J282" s="146">
        <f t="shared" si="51"/>
        <v>106.91</v>
      </c>
      <c r="K282" s="104"/>
      <c r="L282" s="105"/>
      <c r="M282" s="9"/>
      <c r="N282" s="10"/>
      <c r="O282" s="8"/>
      <c r="P282" s="7"/>
      <c r="Q282" s="7"/>
    </row>
    <row r="283" spans="1:17">
      <c r="A283" s="49"/>
      <c r="B283" s="55" t="s">
        <v>61</v>
      </c>
      <c r="C283" s="103">
        <v>210</v>
      </c>
      <c r="D283" s="103"/>
      <c r="E283" s="103">
        <v>210</v>
      </c>
      <c r="F283" s="103"/>
      <c r="G283" s="141">
        <v>392.69</v>
      </c>
      <c r="H283" s="146">
        <f t="shared" si="51"/>
        <v>186.99523809523811</v>
      </c>
      <c r="I283" s="141">
        <v>392.69</v>
      </c>
      <c r="J283" s="146">
        <f t="shared" si="51"/>
        <v>186.99523809523811</v>
      </c>
      <c r="K283" s="104"/>
      <c r="L283" s="105"/>
      <c r="M283" s="9"/>
      <c r="N283" s="10"/>
      <c r="O283" s="8"/>
      <c r="P283" s="7"/>
      <c r="Q283" s="7"/>
    </row>
    <row r="284" spans="1:17">
      <c r="A284" s="49"/>
      <c r="B284" s="56" t="s">
        <v>148</v>
      </c>
      <c r="C284" s="103">
        <v>25</v>
      </c>
      <c r="D284" s="103"/>
      <c r="E284" s="103">
        <v>25</v>
      </c>
      <c r="F284" s="103"/>
      <c r="G284" s="141">
        <v>25</v>
      </c>
      <c r="H284" s="146">
        <f t="shared" si="51"/>
        <v>100</v>
      </c>
      <c r="I284" s="141">
        <v>25</v>
      </c>
      <c r="J284" s="146">
        <f t="shared" si="51"/>
        <v>100</v>
      </c>
      <c r="K284" s="104"/>
      <c r="L284" s="105"/>
      <c r="M284" s="9"/>
      <c r="N284" s="10"/>
      <c r="O284" s="8"/>
      <c r="P284" s="7"/>
      <c r="Q284" s="7"/>
    </row>
    <row r="285" spans="1:17">
      <c r="A285" s="49"/>
      <c r="B285" s="56" t="s">
        <v>108</v>
      </c>
      <c r="C285" s="103">
        <f t="shared" si="57"/>
        <v>175</v>
      </c>
      <c r="D285" s="103"/>
      <c r="E285" s="103">
        <v>175</v>
      </c>
      <c r="F285" s="103"/>
      <c r="G285" s="141">
        <v>176.65</v>
      </c>
      <c r="H285" s="146">
        <f t="shared" si="52"/>
        <v>100.94285714285715</v>
      </c>
      <c r="I285" s="141">
        <v>176.65</v>
      </c>
      <c r="J285" s="146">
        <f t="shared" si="51"/>
        <v>100.94285714285715</v>
      </c>
      <c r="K285" s="104"/>
      <c r="L285" s="105"/>
      <c r="M285" s="9"/>
      <c r="N285" s="10"/>
      <c r="O285" s="8"/>
      <c r="P285" s="7"/>
      <c r="Q285" s="7"/>
    </row>
    <row r="286" spans="1:17">
      <c r="A286" s="49"/>
      <c r="B286" s="56" t="s">
        <v>62</v>
      </c>
      <c r="C286" s="103">
        <v>315</v>
      </c>
      <c r="D286" s="103"/>
      <c r="E286" s="103">
        <v>315</v>
      </c>
      <c r="F286" s="103"/>
      <c r="G286" s="141">
        <v>315.27999999999997</v>
      </c>
      <c r="H286" s="146">
        <f t="shared" si="52"/>
        <v>100.08888888888887</v>
      </c>
      <c r="I286" s="141">
        <v>315.27999999999997</v>
      </c>
      <c r="J286" s="146">
        <f t="shared" si="51"/>
        <v>100.08888888888887</v>
      </c>
      <c r="K286" s="104"/>
      <c r="L286" s="105"/>
      <c r="M286" s="9"/>
      <c r="N286" s="10"/>
      <c r="O286" s="8"/>
      <c r="P286" s="7"/>
      <c r="Q286" s="7"/>
    </row>
    <row r="287" spans="1:17" s="29" customFormat="1">
      <c r="A287" s="26"/>
      <c r="B287" s="99" t="s">
        <v>23</v>
      </c>
      <c r="C287" s="100">
        <f>SUM(C288:C288)</f>
        <v>100</v>
      </c>
      <c r="D287" s="100">
        <f t="shared" ref="D287" si="58">D288</f>
        <v>0</v>
      </c>
      <c r="E287" s="100">
        <f>SUM(E288:E288)</f>
        <v>100</v>
      </c>
      <c r="F287" s="100" t="s">
        <v>10</v>
      </c>
      <c r="G287" s="136">
        <f>SUM(G288)</f>
        <v>93.37</v>
      </c>
      <c r="H287" s="149">
        <f t="shared" si="52"/>
        <v>93.37</v>
      </c>
      <c r="I287" s="136">
        <f>SUM(I288)</f>
        <v>93.37</v>
      </c>
      <c r="J287" s="149">
        <f t="shared" si="51"/>
        <v>93.37</v>
      </c>
      <c r="K287" s="104"/>
      <c r="L287" s="101"/>
      <c r="M287" s="35">
        <f>SUM(M288:M288)</f>
        <v>0</v>
      </c>
      <c r="N287" s="36">
        <f>SUM(N288:N288)</f>
        <v>0</v>
      </c>
      <c r="O287" s="37">
        <f>SUM(O288:O288)</f>
        <v>0</v>
      </c>
      <c r="P287" s="27"/>
      <c r="Q287" s="27"/>
    </row>
    <row r="288" spans="1:17">
      <c r="A288" s="13"/>
      <c r="B288" s="55" t="s">
        <v>92</v>
      </c>
      <c r="C288" s="103">
        <v>100</v>
      </c>
      <c r="D288" s="103"/>
      <c r="E288" s="103">
        <v>100</v>
      </c>
      <c r="F288" s="100"/>
      <c r="G288" s="137">
        <v>93.37</v>
      </c>
      <c r="H288" s="146">
        <f t="shared" si="52"/>
        <v>93.37</v>
      </c>
      <c r="I288" s="137">
        <v>93.37</v>
      </c>
      <c r="J288" s="146">
        <f t="shared" si="51"/>
        <v>93.37</v>
      </c>
      <c r="K288" s="105"/>
      <c r="L288" s="105"/>
      <c r="M288" s="9"/>
      <c r="N288" s="10"/>
      <c r="O288" s="8"/>
      <c r="P288" s="7"/>
      <c r="Q288" s="7"/>
    </row>
    <row r="289" spans="1:17">
      <c r="A289" s="13"/>
      <c r="B289" s="99" t="s">
        <v>66</v>
      </c>
      <c r="C289" s="100">
        <f>SUM(C290:C291)</f>
        <v>6155</v>
      </c>
      <c r="D289" s="103"/>
      <c r="E289" s="100"/>
      <c r="F289" s="100">
        <f>SUM(F290:F291)</f>
        <v>6155</v>
      </c>
      <c r="G289" s="136">
        <v>6126</v>
      </c>
      <c r="H289" s="146">
        <f>G289/C289*100</f>
        <v>99.528838342810715</v>
      </c>
      <c r="I289" s="136"/>
      <c r="J289" s="146"/>
      <c r="K289" s="136">
        <v>6126</v>
      </c>
      <c r="L289" s="149">
        <f>K289/F289*100</f>
        <v>99.528838342810715</v>
      </c>
      <c r="M289" s="9"/>
      <c r="N289" s="10"/>
      <c r="O289" s="8"/>
      <c r="P289" s="7"/>
      <c r="Q289" s="7"/>
    </row>
    <row r="290" spans="1:17">
      <c r="A290" s="13"/>
      <c r="B290" s="55" t="s">
        <v>109</v>
      </c>
      <c r="C290" s="103">
        <v>6155</v>
      </c>
      <c r="D290" s="103"/>
      <c r="E290" s="103"/>
      <c r="F290" s="103">
        <v>6155</v>
      </c>
      <c r="G290" s="137">
        <v>6126</v>
      </c>
      <c r="H290" s="146">
        <f>G290/C290*100</f>
        <v>99.528838342810715</v>
      </c>
      <c r="I290" s="137"/>
      <c r="J290" s="146"/>
      <c r="K290" s="137">
        <v>6126</v>
      </c>
      <c r="L290" s="146">
        <f>K290/F290*100</f>
        <v>99.528838342810715</v>
      </c>
      <c r="M290" s="9"/>
      <c r="N290" s="10"/>
      <c r="O290" s="8"/>
      <c r="P290" s="7"/>
      <c r="Q290" s="7"/>
    </row>
    <row r="291" spans="1:17">
      <c r="A291" s="13"/>
      <c r="B291" s="55" t="s">
        <v>110</v>
      </c>
      <c r="C291" s="103"/>
      <c r="D291" s="103"/>
      <c r="E291" s="103"/>
      <c r="F291" s="103"/>
      <c r="G291" s="136"/>
      <c r="H291" s="101"/>
      <c r="I291" s="136"/>
      <c r="J291" s="146"/>
      <c r="K291" s="105"/>
      <c r="L291" s="105"/>
      <c r="M291" s="9"/>
      <c r="N291" s="10"/>
      <c r="O291" s="8"/>
      <c r="P291" s="7"/>
      <c r="Q291" s="7"/>
    </row>
    <row r="292" spans="1:17">
      <c r="A292" s="13"/>
      <c r="B292" s="97" t="s">
        <v>111</v>
      </c>
      <c r="C292" s="98">
        <f>C293+C295+C297+C299+C306+C313+C316+C326+C328</f>
        <v>44940</v>
      </c>
      <c r="D292" s="98" t="e">
        <f>D293+D295+D297+D299+D306+D313+D316+D326</f>
        <v>#REF!</v>
      </c>
      <c r="E292" s="98">
        <f>E293+E295+E297+E299+E306+E313+E316+E326+E328</f>
        <v>38785</v>
      </c>
      <c r="F292" s="98">
        <f>F328</f>
        <v>6155</v>
      </c>
      <c r="G292" s="135">
        <f>G293+G295+G297+G299+G306+G313+G316+G326+G328</f>
        <v>45743.76</v>
      </c>
      <c r="H292" s="135">
        <f>G292/C292*100</f>
        <v>101.78851802403204</v>
      </c>
      <c r="I292" s="135">
        <f>I293+I295+I297+I299+I306+I313+I316+I326+I328</f>
        <v>39617.760000000002</v>
      </c>
      <c r="J292" s="135">
        <f>I292/E292*100</f>
        <v>102.14711873146835</v>
      </c>
      <c r="K292" s="135">
        <v>6126</v>
      </c>
      <c r="L292" s="135">
        <f>K292/F292*100</f>
        <v>99.528838342810715</v>
      </c>
      <c r="M292" s="78" t="e">
        <f>M293+M295+M297+M299+M306+M313+M316+M326</f>
        <v>#REF!</v>
      </c>
      <c r="N292" s="78" t="e">
        <f>N293+N295+N297+N299+N306+N313+N316+N326</f>
        <v>#REF!</v>
      </c>
      <c r="O292" s="78" t="e">
        <f>O293+O295+O297+O299+O306+O313+O316+O326</f>
        <v>#REF!</v>
      </c>
      <c r="P292" s="78" t="e">
        <f>P293+P295+P297+P299+P306+P313+P316+P326</f>
        <v>#REF!</v>
      </c>
      <c r="Q292" s="78" t="e">
        <f>Q293+Q295+Q297+Q299+Q306+Q313+Q316+Q326</f>
        <v>#REF!</v>
      </c>
    </row>
    <row r="293" spans="1:17">
      <c r="A293" s="13"/>
      <c r="B293" s="99" t="s">
        <v>11</v>
      </c>
      <c r="C293" s="100">
        <f>SUM(C294:C294)</f>
        <v>19718</v>
      </c>
      <c r="D293" s="100" t="e">
        <f>#REF!</f>
        <v>#REF!</v>
      </c>
      <c r="E293" s="100">
        <f>SUM(E294:E294)</f>
        <v>19718</v>
      </c>
      <c r="F293" s="100"/>
      <c r="G293" s="136">
        <f>SUM(G294)</f>
        <v>19366.650000000001</v>
      </c>
      <c r="H293" s="149">
        <f t="shared" ref="H293:J327" si="59">G293/C293*100</f>
        <v>98.218125570544686</v>
      </c>
      <c r="I293" s="136">
        <f>SUM(I294)</f>
        <v>19366.650000000001</v>
      </c>
      <c r="J293" s="149">
        <f t="shared" si="51"/>
        <v>98.218125570544686</v>
      </c>
      <c r="K293" s="104"/>
      <c r="L293" s="101"/>
      <c r="M293" s="15" t="e">
        <f>#REF!</f>
        <v>#REF!</v>
      </c>
      <c r="N293" s="16" t="e">
        <f>#REF!</f>
        <v>#REF!</v>
      </c>
      <c r="O293" s="16" t="e">
        <f>#REF!</f>
        <v>#REF!</v>
      </c>
      <c r="P293" s="7"/>
      <c r="Q293" s="7"/>
    </row>
    <row r="294" spans="1:17" s="3" customFormat="1">
      <c r="A294" s="13"/>
      <c r="B294" s="55" t="s">
        <v>123</v>
      </c>
      <c r="C294" s="103">
        <v>19718</v>
      </c>
      <c r="D294" s="103"/>
      <c r="E294" s="103">
        <v>19718</v>
      </c>
      <c r="F294" s="103"/>
      <c r="G294" s="141">
        <v>19366.650000000001</v>
      </c>
      <c r="H294" s="146">
        <f t="shared" si="59"/>
        <v>98.218125570544686</v>
      </c>
      <c r="I294" s="141">
        <v>19366.650000000001</v>
      </c>
      <c r="J294" s="146">
        <f t="shared" si="51"/>
        <v>98.218125570544686</v>
      </c>
      <c r="K294" s="104"/>
      <c r="L294" s="105"/>
      <c r="M294" s="46"/>
      <c r="N294" s="47"/>
      <c r="O294" s="48"/>
      <c r="P294" s="55"/>
      <c r="Q294" s="55"/>
    </row>
    <row r="295" spans="1:17">
      <c r="A295" s="13"/>
      <c r="B295" s="99" t="s">
        <v>13</v>
      </c>
      <c r="C295" s="100">
        <f>SUM(C296:C296)</f>
        <v>6892</v>
      </c>
      <c r="D295" s="100">
        <f>SUM(D296:D296)</f>
        <v>0</v>
      </c>
      <c r="E295" s="100">
        <f>SUM(E296:E296)</f>
        <v>6892</v>
      </c>
      <c r="F295" s="103"/>
      <c r="G295" s="136">
        <f>SUM(G296)</f>
        <v>7118.8</v>
      </c>
      <c r="H295" s="149">
        <f t="shared" si="59"/>
        <v>103.29077190946026</v>
      </c>
      <c r="I295" s="136">
        <f>SUM(I296)</f>
        <v>7118.8</v>
      </c>
      <c r="J295" s="149">
        <f t="shared" si="51"/>
        <v>103.29077190946026</v>
      </c>
      <c r="K295" s="104"/>
      <c r="L295" s="101"/>
      <c r="M295" s="15"/>
      <c r="N295" s="16"/>
      <c r="O295" s="22"/>
      <c r="P295" s="7"/>
      <c r="Q295" s="7"/>
    </row>
    <row r="296" spans="1:17" s="3" customFormat="1">
      <c r="A296" s="13"/>
      <c r="B296" s="102" t="s">
        <v>122</v>
      </c>
      <c r="C296" s="103">
        <v>6892</v>
      </c>
      <c r="D296" s="103"/>
      <c r="E296" s="103">
        <v>6892</v>
      </c>
      <c r="F296" s="103"/>
      <c r="G296" s="141">
        <v>7118.8</v>
      </c>
      <c r="H296" s="146">
        <f t="shared" si="59"/>
        <v>103.29077190946026</v>
      </c>
      <c r="I296" s="141">
        <v>7118.8</v>
      </c>
      <c r="J296" s="146">
        <f t="shared" si="51"/>
        <v>103.29077190946026</v>
      </c>
      <c r="K296" s="104"/>
      <c r="L296" s="105"/>
      <c r="M296" s="46"/>
      <c r="N296" s="47"/>
      <c r="O296" s="48"/>
      <c r="P296" s="55"/>
      <c r="Q296" s="55"/>
    </row>
    <row r="297" spans="1:17" s="29" customFormat="1">
      <c r="A297" s="26"/>
      <c r="B297" s="28" t="s">
        <v>14</v>
      </c>
      <c r="C297" s="100">
        <f>SUM(C298:C298)</f>
        <v>25</v>
      </c>
      <c r="D297" s="100">
        <f t="shared" ref="D297:Q297" si="60">D298</f>
        <v>0</v>
      </c>
      <c r="E297" s="100">
        <f>SUM(E298:E298)</f>
        <v>25</v>
      </c>
      <c r="F297" s="100"/>
      <c r="G297" s="136">
        <v>5.23</v>
      </c>
      <c r="H297" s="149">
        <f t="shared" si="59"/>
        <v>20.92</v>
      </c>
      <c r="I297" s="136">
        <v>5.23</v>
      </c>
      <c r="J297" s="149">
        <f t="shared" si="59"/>
        <v>20.92</v>
      </c>
      <c r="K297" s="104"/>
      <c r="L297" s="101"/>
      <c r="M297" s="150">
        <f t="shared" si="60"/>
        <v>0</v>
      </c>
      <c r="N297" s="14">
        <f t="shared" si="60"/>
        <v>0</v>
      </c>
      <c r="O297" s="14">
        <f t="shared" si="60"/>
        <v>0</v>
      </c>
      <c r="P297" s="14">
        <f t="shared" si="60"/>
        <v>0</v>
      </c>
      <c r="Q297" s="14">
        <f t="shared" si="60"/>
        <v>0</v>
      </c>
    </row>
    <row r="298" spans="1:17">
      <c r="A298" s="13"/>
      <c r="B298" s="56" t="s">
        <v>98</v>
      </c>
      <c r="C298" s="103">
        <v>25</v>
      </c>
      <c r="D298" s="103"/>
      <c r="E298" s="103">
        <v>25</v>
      </c>
      <c r="F298" s="100"/>
      <c r="G298" s="141">
        <v>5.23</v>
      </c>
      <c r="H298" s="146">
        <f t="shared" si="59"/>
        <v>20.92</v>
      </c>
      <c r="I298" s="141">
        <v>5.23</v>
      </c>
      <c r="J298" s="146">
        <f t="shared" si="59"/>
        <v>20.92</v>
      </c>
      <c r="K298" s="104"/>
      <c r="L298" s="105"/>
      <c r="M298" s="6"/>
      <c r="N298" s="7"/>
      <c r="O298" s="8"/>
      <c r="P298" s="7"/>
      <c r="Q298" s="7"/>
    </row>
    <row r="299" spans="1:17" s="29" customFormat="1">
      <c r="A299" s="26"/>
      <c r="B299" s="99" t="s">
        <v>16</v>
      </c>
      <c r="C299" s="100">
        <f>SUM(C300:C305)</f>
        <v>7974</v>
      </c>
      <c r="D299" s="100" t="e">
        <f>SUM(D300:D305)</f>
        <v>#REF!</v>
      </c>
      <c r="E299" s="100">
        <f>SUM(E300:E305)</f>
        <v>7974</v>
      </c>
      <c r="F299" s="100"/>
      <c r="G299" s="136">
        <f>SUM(G300:G305)</f>
        <v>8879.85</v>
      </c>
      <c r="H299" s="149">
        <f t="shared" si="59"/>
        <v>111.36004514672686</v>
      </c>
      <c r="I299" s="136">
        <f>SUM(I300:I305)</f>
        <v>8879.85</v>
      </c>
      <c r="J299" s="149">
        <f t="shared" si="51"/>
        <v>111.36004514672686</v>
      </c>
      <c r="K299" s="110"/>
      <c r="L299" s="101"/>
      <c r="M299" s="23" t="e">
        <f>M300+M303+M305+#REF!</f>
        <v>#REF!</v>
      </c>
      <c r="N299" s="24" t="e">
        <f>N300+N303+N305+#REF!</f>
        <v>#REF!</v>
      </c>
      <c r="O299" s="25" t="e">
        <f>O300+O303+O305+#REF!</f>
        <v>#REF!</v>
      </c>
      <c r="P299" s="27"/>
      <c r="Q299" s="27"/>
    </row>
    <row r="300" spans="1:17">
      <c r="A300" s="26"/>
      <c r="B300" s="55" t="s">
        <v>39</v>
      </c>
      <c r="C300" s="103">
        <v>3290</v>
      </c>
      <c r="D300" s="103"/>
      <c r="E300" s="103">
        <v>3290</v>
      </c>
      <c r="F300" s="103"/>
      <c r="G300" s="141">
        <v>3290</v>
      </c>
      <c r="H300" s="146">
        <f t="shared" si="59"/>
        <v>100</v>
      </c>
      <c r="I300" s="141">
        <v>3290</v>
      </c>
      <c r="J300" s="146">
        <f t="shared" si="51"/>
        <v>100</v>
      </c>
      <c r="K300" s="104"/>
      <c r="L300" s="105"/>
      <c r="M300" s="30"/>
      <c r="N300" s="31"/>
      <c r="O300" s="8"/>
      <c r="P300" s="7"/>
      <c r="Q300" s="7"/>
    </row>
    <row r="301" spans="1:17">
      <c r="A301" s="26"/>
      <c r="B301" s="55" t="s">
        <v>38</v>
      </c>
      <c r="C301" s="103">
        <v>1780</v>
      </c>
      <c r="D301" s="103"/>
      <c r="E301" s="103">
        <v>1780</v>
      </c>
      <c r="F301" s="103"/>
      <c r="G301" s="141">
        <v>1780</v>
      </c>
      <c r="H301" s="146">
        <f t="shared" si="59"/>
        <v>100</v>
      </c>
      <c r="I301" s="141">
        <v>1780</v>
      </c>
      <c r="J301" s="146">
        <f t="shared" si="51"/>
        <v>100</v>
      </c>
      <c r="K301" s="104"/>
      <c r="L301" s="105"/>
      <c r="M301" s="30"/>
      <c r="N301" s="31"/>
      <c r="O301" s="8"/>
      <c r="P301" s="7"/>
      <c r="Q301" s="7"/>
    </row>
    <row r="302" spans="1:17">
      <c r="A302" s="26"/>
      <c r="B302" s="55" t="s">
        <v>40</v>
      </c>
      <c r="C302" s="103">
        <v>890</v>
      </c>
      <c r="D302" s="103"/>
      <c r="E302" s="103">
        <v>890</v>
      </c>
      <c r="F302" s="103"/>
      <c r="G302" s="141">
        <v>1788.97</v>
      </c>
      <c r="H302" s="146">
        <f t="shared" si="59"/>
        <v>201.00786516853933</v>
      </c>
      <c r="I302" s="141">
        <v>1788.97</v>
      </c>
      <c r="J302" s="146">
        <f t="shared" si="51"/>
        <v>201.00786516853933</v>
      </c>
      <c r="K302" s="104"/>
      <c r="L302" s="105"/>
      <c r="M302" s="30"/>
      <c r="N302" s="31"/>
      <c r="O302" s="8"/>
      <c r="P302" s="7"/>
      <c r="Q302" s="7"/>
    </row>
    <row r="303" spans="1:17">
      <c r="A303" s="13"/>
      <c r="B303" s="55" t="s">
        <v>87</v>
      </c>
      <c r="C303" s="103">
        <f t="shared" ref="C303" si="61">E303+F303</f>
        <v>1800</v>
      </c>
      <c r="D303" s="103"/>
      <c r="E303" s="103">
        <v>1800</v>
      </c>
      <c r="F303" s="103"/>
      <c r="G303" s="141">
        <v>1800.02</v>
      </c>
      <c r="H303" s="146">
        <f t="shared" si="59"/>
        <v>100.00111111111111</v>
      </c>
      <c r="I303" s="141">
        <v>1800.02</v>
      </c>
      <c r="J303" s="146">
        <f t="shared" si="51"/>
        <v>100.00111111111111</v>
      </c>
      <c r="K303" s="104"/>
      <c r="L303" s="105"/>
      <c r="M303" s="30"/>
      <c r="N303" s="31"/>
      <c r="O303" s="8"/>
      <c r="P303" s="7"/>
      <c r="Q303" s="7"/>
    </row>
    <row r="304" spans="1:17">
      <c r="A304" s="13"/>
      <c r="B304" s="55" t="s">
        <v>41</v>
      </c>
      <c r="C304" s="103">
        <v>14</v>
      </c>
      <c r="D304" s="103"/>
      <c r="E304" s="103">
        <v>14</v>
      </c>
      <c r="F304" s="103"/>
      <c r="G304" s="141">
        <v>24.29</v>
      </c>
      <c r="H304" s="146">
        <f t="shared" si="59"/>
        <v>173.5</v>
      </c>
      <c r="I304" s="141">
        <v>24.29</v>
      </c>
      <c r="J304" s="146">
        <f t="shared" si="51"/>
        <v>173.5</v>
      </c>
      <c r="K304" s="104"/>
      <c r="L304" s="105"/>
      <c r="M304" s="57"/>
      <c r="N304" s="34"/>
      <c r="O304" s="8"/>
      <c r="P304" s="8"/>
      <c r="Q304" s="8"/>
    </row>
    <row r="305" spans="1:17">
      <c r="A305" s="13"/>
      <c r="B305" s="55" t="s">
        <v>99</v>
      </c>
      <c r="C305" s="103">
        <v>200</v>
      </c>
      <c r="D305" s="103" t="e">
        <f>#REF!+#REF!</f>
        <v>#REF!</v>
      </c>
      <c r="E305" s="103">
        <v>200</v>
      </c>
      <c r="F305" s="103" t="s">
        <v>10</v>
      </c>
      <c r="G305" s="141">
        <v>196.57</v>
      </c>
      <c r="H305" s="146">
        <f t="shared" si="59"/>
        <v>98.284999999999997</v>
      </c>
      <c r="I305" s="141">
        <v>196.57</v>
      </c>
      <c r="J305" s="146">
        <f t="shared" si="51"/>
        <v>98.284999999999997</v>
      </c>
      <c r="K305" s="104"/>
      <c r="L305" s="105"/>
      <c r="M305" s="32" t="e">
        <f>#REF!+#REF!</f>
        <v>#REF!</v>
      </c>
      <c r="N305" s="33" t="e">
        <f>#REF!+#REF!</f>
        <v>#REF!</v>
      </c>
      <c r="O305" s="33" t="e">
        <f>#REF!+#REF!</f>
        <v>#REF!</v>
      </c>
      <c r="P305" s="33" t="e">
        <f>#REF!+#REF!</f>
        <v>#REF!</v>
      </c>
      <c r="Q305" s="33" t="e">
        <f>#REF!+#REF!</f>
        <v>#REF!</v>
      </c>
    </row>
    <row r="306" spans="1:17" s="29" customFormat="1">
      <c r="A306" s="26"/>
      <c r="B306" s="99" t="s">
        <v>18</v>
      </c>
      <c r="C306" s="100">
        <f>SUM(C307:C312)</f>
        <v>1806</v>
      </c>
      <c r="D306" s="100" t="e">
        <f>SUM(D307:D312)</f>
        <v>#REF!</v>
      </c>
      <c r="E306" s="100">
        <f>SUM(E307:E312)</f>
        <v>1806</v>
      </c>
      <c r="F306" s="100" t="s">
        <v>10</v>
      </c>
      <c r="G306" s="136">
        <f>SUM(G307:G312)</f>
        <v>1760.86</v>
      </c>
      <c r="H306" s="149">
        <f t="shared" si="59"/>
        <v>97.500553709856035</v>
      </c>
      <c r="I306" s="136">
        <f>SUM(I307:I312)</f>
        <v>1760.86</v>
      </c>
      <c r="J306" s="149">
        <f t="shared" ref="J306:J327" si="62">I306/E306*100</f>
        <v>97.500553709856035</v>
      </c>
      <c r="K306" s="104"/>
      <c r="L306" s="101"/>
      <c r="M306" s="150" t="e">
        <f t="shared" ref="M306:Q306" si="63">SUM(M307:M311)</f>
        <v>#REF!</v>
      </c>
      <c r="N306" s="14" t="e">
        <f t="shared" si="63"/>
        <v>#REF!</v>
      </c>
      <c r="O306" s="14" t="e">
        <f t="shared" si="63"/>
        <v>#REF!</v>
      </c>
      <c r="P306" s="14">
        <f t="shared" si="63"/>
        <v>0</v>
      </c>
      <c r="Q306" s="14">
        <f t="shared" si="63"/>
        <v>0</v>
      </c>
    </row>
    <row r="307" spans="1:17" s="3" customFormat="1">
      <c r="A307" s="13"/>
      <c r="B307" s="102" t="s">
        <v>44</v>
      </c>
      <c r="C307" s="103">
        <f>E307+F307</f>
        <v>50</v>
      </c>
      <c r="D307" s="103"/>
      <c r="E307" s="103">
        <v>50</v>
      </c>
      <c r="F307" s="103"/>
      <c r="G307" s="141">
        <v>50</v>
      </c>
      <c r="H307" s="146">
        <f t="shared" si="59"/>
        <v>100</v>
      </c>
      <c r="I307" s="141">
        <v>50</v>
      </c>
      <c r="J307" s="146">
        <f t="shared" si="59"/>
        <v>100</v>
      </c>
      <c r="K307" s="104"/>
      <c r="L307" s="105"/>
      <c r="M307" s="59"/>
      <c r="N307" s="5"/>
      <c r="O307" s="60"/>
      <c r="P307" s="5"/>
      <c r="Q307" s="5"/>
    </row>
    <row r="308" spans="1:17" s="3" customFormat="1">
      <c r="A308" s="13"/>
      <c r="B308" s="102" t="s">
        <v>100</v>
      </c>
      <c r="C308" s="103">
        <f t="shared" ref="C308" si="64">E308+F308</f>
        <v>200</v>
      </c>
      <c r="D308" s="103"/>
      <c r="E308" s="103">
        <v>200</v>
      </c>
      <c r="F308" s="103"/>
      <c r="G308" s="141">
        <v>200.01</v>
      </c>
      <c r="H308" s="146">
        <f t="shared" si="59"/>
        <v>100.005</v>
      </c>
      <c r="I308" s="141">
        <v>200.01</v>
      </c>
      <c r="J308" s="146">
        <f t="shared" si="62"/>
        <v>100.005</v>
      </c>
      <c r="K308" s="104"/>
      <c r="L308" s="105"/>
      <c r="M308" s="59"/>
      <c r="N308" s="5"/>
      <c r="O308" s="60"/>
      <c r="P308" s="5"/>
      <c r="Q308" s="5"/>
    </row>
    <row r="309" spans="1:17" s="3" customFormat="1">
      <c r="A309" s="13"/>
      <c r="B309" s="102" t="s">
        <v>101</v>
      </c>
      <c r="C309" s="103">
        <v>750</v>
      </c>
      <c r="D309" s="103"/>
      <c r="E309" s="103">
        <v>750</v>
      </c>
      <c r="F309" s="103"/>
      <c r="G309" s="141">
        <v>615</v>
      </c>
      <c r="H309" s="146">
        <f t="shared" si="59"/>
        <v>82</v>
      </c>
      <c r="I309" s="141">
        <v>615</v>
      </c>
      <c r="J309" s="146">
        <f t="shared" si="62"/>
        <v>82</v>
      </c>
      <c r="K309" s="104"/>
      <c r="L309" s="105"/>
      <c r="M309" s="59"/>
      <c r="N309" s="5"/>
      <c r="O309" s="60"/>
      <c r="P309" s="5"/>
      <c r="Q309" s="5"/>
    </row>
    <row r="310" spans="1:17">
      <c r="A310" s="13"/>
      <c r="B310" s="55" t="s">
        <v>46</v>
      </c>
      <c r="C310" s="103">
        <v>726</v>
      </c>
      <c r="D310" s="103" t="e">
        <f>SUM(#REF!)</f>
        <v>#REF!</v>
      </c>
      <c r="E310" s="103">
        <v>726</v>
      </c>
      <c r="F310" s="103"/>
      <c r="G310" s="141">
        <v>840.9</v>
      </c>
      <c r="H310" s="146">
        <f t="shared" si="59"/>
        <v>115.82644628099172</v>
      </c>
      <c r="I310" s="141">
        <v>840.9</v>
      </c>
      <c r="J310" s="146">
        <f t="shared" si="62"/>
        <v>115.82644628099172</v>
      </c>
      <c r="K310" s="104"/>
      <c r="L310" s="105"/>
      <c r="M310" s="9" t="e">
        <f>SUM(#REF!)</f>
        <v>#REF!</v>
      </c>
      <c r="N310" s="10" t="e">
        <f>SUM(#REF!)</f>
        <v>#REF!</v>
      </c>
      <c r="O310" s="34" t="e">
        <f>SUM(#REF!)</f>
        <v>#REF!</v>
      </c>
      <c r="P310" s="7"/>
      <c r="Q310" s="7"/>
    </row>
    <row r="311" spans="1:17">
      <c r="A311" s="13"/>
      <c r="B311" s="55" t="s">
        <v>102</v>
      </c>
      <c r="C311" s="103">
        <f t="shared" ref="C311:C312" si="65">E311+F311</f>
        <v>55</v>
      </c>
      <c r="D311" s="103"/>
      <c r="E311" s="103">
        <v>55</v>
      </c>
      <c r="F311" s="103"/>
      <c r="G311" s="141">
        <v>54.95</v>
      </c>
      <c r="H311" s="146">
        <f t="shared" si="59"/>
        <v>99.909090909090921</v>
      </c>
      <c r="I311" s="141">
        <v>54.95</v>
      </c>
      <c r="J311" s="146">
        <f t="shared" si="62"/>
        <v>99.909090909090921</v>
      </c>
      <c r="K311" s="104"/>
      <c r="L311" s="105"/>
      <c r="M311" s="9"/>
      <c r="N311" s="10"/>
      <c r="O311" s="11"/>
      <c r="P311" s="7"/>
      <c r="Q311" s="7"/>
    </row>
    <row r="312" spans="1:17">
      <c r="A312" s="13" t="s">
        <v>10</v>
      </c>
      <c r="B312" s="56" t="s">
        <v>103</v>
      </c>
      <c r="C312" s="103">
        <f t="shared" si="65"/>
        <v>25</v>
      </c>
      <c r="D312" s="103"/>
      <c r="E312" s="103">
        <v>25</v>
      </c>
      <c r="F312" s="103"/>
      <c r="G312" s="141">
        <v>0</v>
      </c>
      <c r="H312" s="146">
        <f t="shared" si="59"/>
        <v>0</v>
      </c>
      <c r="I312" s="141">
        <v>0</v>
      </c>
      <c r="J312" s="146">
        <f t="shared" si="62"/>
        <v>0</v>
      </c>
      <c r="K312" s="104"/>
      <c r="L312" s="105"/>
      <c r="M312" s="9"/>
      <c r="N312" s="10"/>
      <c r="O312" s="11"/>
      <c r="P312" s="7"/>
      <c r="Q312" s="7"/>
    </row>
    <row r="313" spans="1:17" s="29" customFormat="1">
      <c r="A313" s="26"/>
      <c r="B313" s="28" t="s">
        <v>20</v>
      </c>
      <c r="C313" s="100">
        <f>SUM(C314:C315)</f>
        <v>880</v>
      </c>
      <c r="D313" s="100"/>
      <c r="E313" s="100">
        <f>SUM(E314:E315)</f>
        <v>880</v>
      </c>
      <c r="F313" s="100"/>
      <c r="G313" s="136">
        <f>SUM(G314+G315)</f>
        <v>880.01</v>
      </c>
      <c r="H313" s="149">
        <f t="shared" si="59"/>
        <v>100.00113636363636</v>
      </c>
      <c r="I313" s="136">
        <f>SUM(I314+I315)</f>
        <v>880.01</v>
      </c>
      <c r="J313" s="149">
        <f t="shared" si="62"/>
        <v>100.00113636363636</v>
      </c>
      <c r="K313" s="104"/>
      <c r="L313" s="101"/>
      <c r="M313" s="23"/>
      <c r="N313" s="24"/>
      <c r="O313" s="25"/>
      <c r="P313" s="27"/>
      <c r="Q313" s="27"/>
    </row>
    <row r="314" spans="1:17" s="29" customFormat="1">
      <c r="A314" s="26"/>
      <c r="B314" s="56" t="s">
        <v>149</v>
      </c>
      <c r="C314" s="103">
        <v>380</v>
      </c>
      <c r="D314" s="103"/>
      <c r="E314" s="103">
        <v>380</v>
      </c>
      <c r="F314" s="100"/>
      <c r="G314" s="141">
        <v>380</v>
      </c>
      <c r="H314" s="146">
        <f t="shared" si="59"/>
        <v>100</v>
      </c>
      <c r="I314" s="141">
        <v>380</v>
      </c>
      <c r="J314" s="146">
        <f t="shared" si="59"/>
        <v>100</v>
      </c>
      <c r="K314" s="104"/>
      <c r="L314" s="101"/>
      <c r="M314" s="23"/>
      <c r="N314" s="24"/>
      <c r="O314" s="25"/>
      <c r="P314" s="27"/>
      <c r="Q314" s="27"/>
    </row>
    <row r="315" spans="1:17">
      <c r="A315" s="13"/>
      <c r="B315" s="56" t="s">
        <v>104</v>
      </c>
      <c r="C315" s="103">
        <f t="shared" ref="C315" si="66">E315</f>
        <v>500</v>
      </c>
      <c r="D315" s="103"/>
      <c r="E315" s="103">
        <v>500</v>
      </c>
      <c r="F315" s="103"/>
      <c r="G315" s="141">
        <v>500.01</v>
      </c>
      <c r="H315" s="146">
        <f t="shared" si="59"/>
        <v>100.002</v>
      </c>
      <c r="I315" s="141">
        <v>500.01</v>
      </c>
      <c r="J315" s="146">
        <f t="shared" si="62"/>
        <v>100.002</v>
      </c>
      <c r="K315" s="104"/>
      <c r="L315" s="105"/>
      <c r="M315" s="9"/>
      <c r="N315" s="10"/>
      <c r="O315" s="11"/>
      <c r="P315" s="7"/>
      <c r="Q315" s="7"/>
    </row>
    <row r="316" spans="1:17" s="29" customFormat="1">
      <c r="A316" s="26"/>
      <c r="B316" s="99" t="s">
        <v>22</v>
      </c>
      <c r="C316" s="100">
        <f>SUM(C317:C325)</f>
        <v>1390</v>
      </c>
      <c r="D316" s="100">
        <f>SUM(D317:D322)</f>
        <v>0</v>
      </c>
      <c r="E316" s="100">
        <f>SUM(E317:E325)</f>
        <v>1390</v>
      </c>
      <c r="F316" s="100" t="s">
        <v>10</v>
      </c>
      <c r="G316" s="136">
        <f>SUM(G317:G325)</f>
        <v>1513.01</v>
      </c>
      <c r="H316" s="149">
        <f t="shared" si="59"/>
        <v>108.84964028776977</v>
      </c>
      <c r="I316" s="136">
        <f>SUM(I317:I325)</f>
        <v>1513.01</v>
      </c>
      <c r="J316" s="149">
        <f t="shared" si="62"/>
        <v>108.84964028776977</v>
      </c>
      <c r="K316" s="101"/>
      <c r="L316" s="101"/>
      <c r="M316" s="14" t="e">
        <f>#REF!+#REF!+#REF!+#REF!+#REF!+#REF!+#REF!+#REF!+#REF!+#REF!+#REF!+#REF!+M322+#REF!+#REF!+#REF!+#REF!+#REF!+#REF!+#REF!+#REF!</f>
        <v>#REF!</v>
      </c>
      <c r="N316" s="14" t="e">
        <f>#REF!+#REF!+#REF!+#REF!+#REF!+#REF!+#REF!+#REF!+#REF!+#REF!+#REF!+#REF!+N322+#REF!+#REF!+#REF!+#REF!+#REF!+#REF!+#REF!+#REF!</f>
        <v>#REF!</v>
      </c>
      <c r="O316" s="14" t="e">
        <f>#REF!+#REF!+#REF!+#REF!+#REF!+#REF!+#REF!+#REF!+#REF!+#REF!+#REF!+#REF!+O322+#REF!+#REF!+#REF!+#REF!+#REF!+#REF!+#REF!+#REF!</f>
        <v>#REF!</v>
      </c>
      <c r="P316" s="14" t="e">
        <f>#REF!+#REF!+#REF!+#REF!+#REF!+#REF!+#REF!+#REF!+#REF!+#REF!+#REF!+#REF!+P322+#REF!+#REF!+#REF!+#REF!+#REF!+#REF!+#REF!+#REF!</f>
        <v>#REF!</v>
      </c>
      <c r="Q316" s="14" t="e">
        <f>#REF!+#REF!+#REF!+#REF!+#REF!+#REF!+#REF!+#REF!+#REF!+#REF!+#REF!+#REF!+Q322+#REF!+#REF!+#REF!+#REF!+#REF!+#REF!+#REF!+#REF!</f>
        <v>#REF!</v>
      </c>
    </row>
    <row r="317" spans="1:17">
      <c r="A317" s="58"/>
      <c r="B317" s="55" t="s">
        <v>105</v>
      </c>
      <c r="C317" s="103">
        <v>65</v>
      </c>
      <c r="D317" s="103"/>
      <c r="E317" s="103">
        <v>65</v>
      </c>
      <c r="F317" s="103"/>
      <c r="G317" s="141">
        <v>60.96</v>
      </c>
      <c r="H317" s="146">
        <f t="shared" si="59"/>
        <v>93.784615384615392</v>
      </c>
      <c r="I317" s="141">
        <v>60.96</v>
      </c>
      <c r="J317" s="146">
        <f t="shared" si="62"/>
        <v>93.784615384615392</v>
      </c>
      <c r="K317" s="104"/>
      <c r="L317" s="105"/>
      <c r="M317" s="9"/>
      <c r="N317" s="10"/>
      <c r="O317" s="8"/>
      <c r="P317" s="7"/>
      <c r="Q317" s="7"/>
    </row>
    <row r="318" spans="1:17">
      <c r="A318" s="58"/>
      <c r="B318" s="55" t="s">
        <v>106</v>
      </c>
      <c r="C318" s="103">
        <f t="shared" ref="C318:C324" si="67">E318</f>
        <v>270</v>
      </c>
      <c r="D318" s="103"/>
      <c r="E318" s="103">
        <v>270</v>
      </c>
      <c r="F318" s="103"/>
      <c r="G318" s="141">
        <v>266.49</v>
      </c>
      <c r="H318" s="146">
        <f t="shared" si="59"/>
        <v>98.7</v>
      </c>
      <c r="I318" s="141">
        <v>266.49</v>
      </c>
      <c r="J318" s="146">
        <f t="shared" si="62"/>
        <v>98.7</v>
      </c>
      <c r="K318" s="104"/>
      <c r="L318" s="105"/>
      <c r="M318" s="9"/>
      <c r="N318" s="10"/>
      <c r="O318" s="8"/>
      <c r="P318" s="7"/>
      <c r="Q318" s="7"/>
    </row>
    <row r="319" spans="1:17">
      <c r="A319" s="58"/>
      <c r="B319" s="55" t="s">
        <v>150</v>
      </c>
      <c r="C319" s="103">
        <v>180</v>
      </c>
      <c r="D319" s="103"/>
      <c r="E319" s="103">
        <v>180</v>
      </c>
      <c r="F319" s="103"/>
      <c r="G319" s="141">
        <v>180</v>
      </c>
      <c r="H319" s="146">
        <f t="shared" si="59"/>
        <v>100</v>
      </c>
      <c r="I319" s="141">
        <v>180</v>
      </c>
      <c r="J319" s="146">
        <f t="shared" si="62"/>
        <v>100</v>
      </c>
      <c r="K319" s="104"/>
      <c r="L319" s="105"/>
      <c r="M319" s="9"/>
      <c r="N319" s="10"/>
      <c r="O319" s="8"/>
      <c r="P319" s="7"/>
      <c r="Q319" s="7"/>
    </row>
    <row r="320" spans="1:17">
      <c r="A320" s="58"/>
      <c r="B320" s="55" t="s">
        <v>107</v>
      </c>
      <c r="C320" s="103">
        <f t="shared" si="67"/>
        <v>100</v>
      </c>
      <c r="D320" s="103"/>
      <c r="E320" s="103">
        <v>100</v>
      </c>
      <c r="F320" s="103"/>
      <c r="G320" s="141">
        <v>106.95</v>
      </c>
      <c r="H320" s="146">
        <f t="shared" si="59"/>
        <v>106.95000000000002</v>
      </c>
      <c r="I320" s="141">
        <v>106.95</v>
      </c>
      <c r="J320" s="146">
        <f t="shared" si="62"/>
        <v>106.95000000000002</v>
      </c>
      <c r="K320" s="104"/>
      <c r="L320" s="105"/>
      <c r="M320" s="9"/>
      <c r="N320" s="10"/>
      <c r="O320" s="8"/>
      <c r="P320" s="7"/>
      <c r="Q320" s="7"/>
    </row>
    <row r="321" spans="1:17">
      <c r="A321" s="58"/>
      <c r="B321" s="55" t="s">
        <v>160</v>
      </c>
      <c r="C321" s="103">
        <v>50</v>
      </c>
      <c r="D321" s="103"/>
      <c r="E321" s="103">
        <v>50</v>
      </c>
      <c r="F321" s="103"/>
      <c r="G321" s="141">
        <v>50</v>
      </c>
      <c r="H321" s="146">
        <f t="shared" si="59"/>
        <v>100</v>
      </c>
      <c r="I321" s="141">
        <v>50</v>
      </c>
      <c r="J321" s="146">
        <f t="shared" si="62"/>
        <v>100</v>
      </c>
      <c r="K321" s="104"/>
      <c r="L321" s="105"/>
      <c r="M321" s="9"/>
      <c r="N321" s="10"/>
      <c r="O321" s="8"/>
      <c r="P321" s="7"/>
      <c r="Q321" s="7"/>
    </row>
    <row r="322" spans="1:17">
      <c r="A322" s="49"/>
      <c r="B322" s="55" t="s">
        <v>61</v>
      </c>
      <c r="C322" s="103">
        <v>210</v>
      </c>
      <c r="D322" s="103"/>
      <c r="E322" s="103">
        <v>210</v>
      </c>
      <c r="F322" s="103"/>
      <c r="G322" s="141">
        <v>270.7</v>
      </c>
      <c r="H322" s="146">
        <f t="shared" si="59"/>
        <v>128.9047619047619</v>
      </c>
      <c r="I322" s="141">
        <v>270.7</v>
      </c>
      <c r="J322" s="146">
        <f t="shared" si="62"/>
        <v>128.9047619047619</v>
      </c>
      <c r="K322" s="104"/>
      <c r="L322" s="105"/>
      <c r="M322" s="9"/>
      <c r="N322" s="10"/>
      <c r="O322" s="8"/>
      <c r="P322" s="7"/>
      <c r="Q322" s="7"/>
    </row>
    <row r="323" spans="1:17">
      <c r="A323" s="49"/>
      <c r="B323" s="56" t="s">
        <v>148</v>
      </c>
      <c r="C323" s="103">
        <v>25</v>
      </c>
      <c r="D323" s="103"/>
      <c r="E323" s="103">
        <v>25</v>
      </c>
      <c r="F323" s="103"/>
      <c r="G323" s="141">
        <v>25</v>
      </c>
      <c r="H323" s="146">
        <f t="shared" si="59"/>
        <v>100</v>
      </c>
      <c r="I323" s="141">
        <v>25</v>
      </c>
      <c r="J323" s="146">
        <f t="shared" si="62"/>
        <v>100</v>
      </c>
      <c r="K323" s="104"/>
      <c r="L323" s="105"/>
      <c r="M323" s="9"/>
      <c r="N323" s="10"/>
      <c r="O323" s="8"/>
      <c r="P323" s="7"/>
      <c r="Q323" s="7"/>
    </row>
    <row r="324" spans="1:17">
      <c r="A324" s="49"/>
      <c r="B324" s="56" t="s">
        <v>108</v>
      </c>
      <c r="C324" s="103">
        <f t="shared" si="67"/>
        <v>175</v>
      </c>
      <c r="D324" s="103"/>
      <c r="E324" s="103">
        <v>175</v>
      </c>
      <c r="F324" s="103"/>
      <c r="G324" s="141">
        <v>237.63</v>
      </c>
      <c r="H324" s="146">
        <f t="shared" si="59"/>
        <v>135.78857142857143</v>
      </c>
      <c r="I324" s="141">
        <v>237.63</v>
      </c>
      <c r="J324" s="146">
        <f t="shared" si="62"/>
        <v>135.78857142857143</v>
      </c>
      <c r="K324" s="104"/>
      <c r="L324" s="105"/>
      <c r="M324" s="9"/>
      <c r="N324" s="10"/>
      <c r="O324" s="8"/>
      <c r="P324" s="7"/>
      <c r="Q324" s="7"/>
    </row>
    <row r="325" spans="1:17">
      <c r="A325" s="49"/>
      <c r="B325" s="56" t="s">
        <v>62</v>
      </c>
      <c r="C325" s="103">
        <v>315</v>
      </c>
      <c r="D325" s="103"/>
      <c r="E325" s="103">
        <v>315</v>
      </c>
      <c r="F325" s="103"/>
      <c r="G325" s="141">
        <v>315.27999999999997</v>
      </c>
      <c r="H325" s="146">
        <f t="shared" si="59"/>
        <v>100.08888888888887</v>
      </c>
      <c r="I325" s="141">
        <v>315.27999999999997</v>
      </c>
      <c r="J325" s="146">
        <f t="shared" si="62"/>
        <v>100.08888888888887</v>
      </c>
      <c r="K325" s="104"/>
      <c r="L325" s="105"/>
      <c r="M325" s="9"/>
      <c r="N325" s="10"/>
      <c r="O325" s="8"/>
      <c r="P325" s="7"/>
      <c r="Q325" s="7"/>
    </row>
    <row r="326" spans="1:17" s="29" customFormat="1">
      <c r="A326" s="26"/>
      <c r="B326" s="99" t="s">
        <v>23</v>
      </c>
      <c r="C326" s="100">
        <f>SUM(C327:C327)</f>
        <v>100</v>
      </c>
      <c r="D326" s="100">
        <f t="shared" ref="D326" si="68">D327</f>
        <v>0</v>
      </c>
      <c r="E326" s="100">
        <f>SUM(E327:E327)</f>
        <v>100</v>
      </c>
      <c r="F326" s="100" t="s">
        <v>10</v>
      </c>
      <c r="G326" s="136">
        <f>SUM(G327)</f>
        <v>93.35</v>
      </c>
      <c r="H326" s="149">
        <f t="shared" si="59"/>
        <v>93.35</v>
      </c>
      <c r="I326" s="136">
        <f>SUM(I327)</f>
        <v>93.35</v>
      </c>
      <c r="J326" s="149">
        <f t="shared" si="62"/>
        <v>93.35</v>
      </c>
      <c r="K326" s="104"/>
      <c r="L326" s="101"/>
      <c r="M326" s="35">
        <f>SUM(M327:M327)</f>
        <v>0</v>
      </c>
      <c r="N326" s="36">
        <f>SUM(N327:N327)</f>
        <v>0</v>
      </c>
      <c r="O326" s="37">
        <f>SUM(O327:O327)</f>
        <v>0</v>
      </c>
      <c r="P326" s="27"/>
      <c r="Q326" s="27"/>
    </row>
    <row r="327" spans="1:17">
      <c r="A327" s="13"/>
      <c r="B327" s="55" t="s">
        <v>92</v>
      </c>
      <c r="C327" s="103">
        <v>100</v>
      </c>
      <c r="D327" s="103"/>
      <c r="E327" s="103">
        <v>100</v>
      </c>
      <c r="F327" s="100"/>
      <c r="G327" s="137">
        <v>93.35</v>
      </c>
      <c r="H327" s="146">
        <f t="shared" si="59"/>
        <v>93.35</v>
      </c>
      <c r="I327" s="137">
        <v>93.35</v>
      </c>
      <c r="J327" s="146">
        <f t="shared" si="62"/>
        <v>93.35</v>
      </c>
      <c r="K327" s="105"/>
      <c r="L327" s="105"/>
      <c r="M327" s="9"/>
      <c r="N327" s="10"/>
      <c r="O327" s="8"/>
      <c r="P327" s="7"/>
      <c r="Q327" s="7"/>
    </row>
    <row r="328" spans="1:17">
      <c r="A328" s="13"/>
      <c r="B328" s="99" t="s">
        <v>66</v>
      </c>
      <c r="C328" s="100">
        <f>SUM(C329:C330)</f>
        <v>6155</v>
      </c>
      <c r="D328" s="103"/>
      <c r="E328" s="100"/>
      <c r="F328" s="100">
        <f>SUM(F329:F330)</f>
        <v>6155</v>
      </c>
      <c r="G328" s="136">
        <v>6126</v>
      </c>
      <c r="H328" s="149">
        <f>G328/C328*100</f>
        <v>99.528838342810715</v>
      </c>
      <c r="I328" s="136"/>
      <c r="J328" s="146"/>
      <c r="K328" s="136">
        <v>6126</v>
      </c>
      <c r="L328" s="149">
        <f>K328/F328*100</f>
        <v>99.528838342810715</v>
      </c>
      <c r="M328" s="9"/>
      <c r="N328" s="10"/>
      <c r="O328" s="8"/>
      <c r="P328" s="7"/>
      <c r="Q328" s="7"/>
    </row>
    <row r="329" spans="1:17">
      <c r="A329" s="13"/>
      <c r="B329" s="55" t="s">
        <v>109</v>
      </c>
      <c r="C329" s="103">
        <v>6155</v>
      </c>
      <c r="D329" s="103"/>
      <c r="E329" s="103"/>
      <c r="F329" s="103">
        <v>6155</v>
      </c>
      <c r="G329" s="137">
        <v>6126</v>
      </c>
      <c r="H329" s="146">
        <f>G329/C329*100</f>
        <v>99.528838342810715</v>
      </c>
      <c r="I329" s="136"/>
      <c r="J329" s="146"/>
      <c r="K329" s="137">
        <v>6126</v>
      </c>
      <c r="L329" s="146">
        <f>K329/F329*100</f>
        <v>99.528838342810715</v>
      </c>
      <c r="M329" s="9"/>
      <c r="N329" s="10"/>
      <c r="O329" s="8"/>
      <c r="P329" s="7"/>
      <c r="Q329" s="7"/>
    </row>
    <row r="330" spans="1:17">
      <c r="A330" s="13"/>
      <c r="B330" s="55" t="s">
        <v>110</v>
      </c>
      <c r="C330" s="103"/>
      <c r="D330" s="103"/>
      <c r="E330" s="103"/>
      <c r="F330" s="100"/>
      <c r="G330" s="136"/>
      <c r="H330" s="101"/>
      <c r="I330" s="136"/>
      <c r="J330" s="146"/>
      <c r="K330" s="105"/>
      <c r="L330" s="105"/>
      <c r="M330" s="9"/>
      <c r="N330" s="10"/>
      <c r="O330" s="8"/>
      <c r="P330" s="7"/>
      <c r="Q330" s="7"/>
    </row>
    <row r="331" spans="1:17">
      <c r="A331" s="13"/>
      <c r="B331" s="55"/>
      <c r="C331" s="103"/>
      <c r="D331" s="103"/>
      <c r="E331" s="103"/>
      <c r="F331" s="100"/>
      <c r="G331" s="136"/>
      <c r="H331" s="101"/>
      <c r="I331" s="136"/>
      <c r="J331" s="146"/>
      <c r="K331" s="105"/>
      <c r="L331" s="105"/>
      <c r="M331" s="9"/>
      <c r="N331" s="10"/>
      <c r="O331" s="8"/>
      <c r="P331" s="7"/>
      <c r="Q331" s="7"/>
    </row>
    <row r="332" spans="1:17">
      <c r="A332" s="13"/>
      <c r="B332" s="27" t="s">
        <v>161</v>
      </c>
      <c r="C332" s="103"/>
      <c r="D332" s="103"/>
      <c r="E332" s="103"/>
      <c r="F332" s="100"/>
      <c r="G332" s="136">
        <v>853.6</v>
      </c>
      <c r="H332" s="101"/>
      <c r="I332" s="136">
        <v>853.6</v>
      </c>
      <c r="J332" s="146"/>
      <c r="K332" s="105"/>
      <c r="L332" s="105"/>
      <c r="M332" s="9"/>
      <c r="N332" s="10"/>
      <c r="O332" s="8"/>
      <c r="P332" s="7"/>
      <c r="Q332" s="7"/>
    </row>
    <row r="333" spans="1:17">
      <c r="A333" s="13"/>
      <c r="B333" s="55" t="s">
        <v>163</v>
      </c>
      <c r="C333" s="103"/>
      <c r="D333" s="103"/>
      <c r="E333" s="103"/>
      <c r="F333" s="100"/>
      <c r="G333" s="137">
        <v>671</v>
      </c>
      <c r="H333" s="105"/>
      <c r="I333" s="137">
        <v>671</v>
      </c>
      <c r="J333" s="146"/>
      <c r="K333" s="105"/>
      <c r="L333" s="105"/>
      <c r="M333" s="9"/>
      <c r="N333" s="10"/>
      <c r="O333" s="8"/>
      <c r="P333" s="7"/>
      <c r="Q333" s="7"/>
    </row>
    <row r="334" spans="1:17">
      <c r="A334" s="54"/>
      <c r="B334" s="55" t="s">
        <v>162</v>
      </c>
      <c r="C334" s="103"/>
      <c r="D334" s="103"/>
      <c r="E334" s="103"/>
      <c r="F334" s="103"/>
      <c r="G334" s="138">
        <v>182.6</v>
      </c>
      <c r="H334" s="106"/>
      <c r="I334" s="138">
        <v>182.6</v>
      </c>
      <c r="J334" s="146"/>
      <c r="K334" s="106"/>
      <c r="L334" s="105"/>
      <c r="M334" s="38"/>
      <c r="N334" s="39"/>
      <c r="O334" s="40"/>
      <c r="P334" s="7"/>
      <c r="Q334" s="7"/>
    </row>
    <row r="335" spans="1:17">
      <c r="A335" s="54"/>
      <c r="B335" s="3"/>
      <c r="C335" s="3"/>
      <c r="D335" s="3"/>
      <c r="E335" s="3"/>
      <c r="F335" s="3"/>
      <c r="G335" s="114"/>
      <c r="H335" s="114"/>
      <c r="I335" s="143"/>
      <c r="J335" s="148"/>
      <c r="K335" s="3"/>
      <c r="L335" s="3"/>
    </row>
    <row r="336" spans="1:17" ht="13.8" thickBot="1">
      <c r="A336" s="54"/>
      <c r="B336" s="3"/>
      <c r="C336" s="3"/>
      <c r="D336" s="3"/>
      <c r="E336" s="3"/>
      <c r="F336" s="3"/>
      <c r="G336" s="114"/>
      <c r="H336" s="114"/>
      <c r="I336" s="143"/>
      <c r="J336" s="148"/>
      <c r="K336" s="3"/>
      <c r="L336" s="3"/>
    </row>
    <row r="337" spans="1:17" ht="13.8" thickBot="1">
      <c r="A337" s="157"/>
      <c r="B337" s="159" t="s">
        <v>33</v>
      </c>
      <c r="C337" s="153">
        <f>C13+C68+C70+C75+C82+C84+C94+C114+C169+C171+C176+C183+C185+C195+C215+C237+C253+C292</f>
        <v>1269503</v>
      </c>
      <c r="D337" s="153" t="e">
        <f>D13+D70+D75+D82+#REF!+#REF!+#REF!+#REF!+#REF!+D215+D237+D253+D295+#REF!+D94</f>
        <v>#REF!</v>
      </c>
      <c r="E337" s="153">
        <f>E13+E68+E70+E75+E82+E84+E94+E114+E169+E171+E176+E183+E185+E195+E215+E237+E253+E292</f>
        <v>1224503</v>
      </c>
      <c r="F337" s="153">
        <f>F13+F114+F253+F292</f>
        <v>45000</v>
      </c>
      <c r="G337" s="154">
        <f>+G12+G214+G236+G252+G332</f>
        <v>1236028.8000000003</v>
      </c>
      <c r="H337" s="156">
        <f>G337/C337*100</f>
        <v>97.363204340596297</v>
      </c>
      <c r="I337" s="155">
        <f>I13+I68+I70+I75+I82+I84+I94+I114+I169+I171+I176+I183+I185+I195+I215+I237+I253+I292+I332</f>
        <v>1191462.6300000001</v>
      </c>
      <c r="J337" s="160">
        <f>I337/E337*100</f>
        <v>97.301732212987645</v>
      </c>
      <c r="K337" s="161">
        <f>K12+K252</f>
        <v>44566.17</v>
      </c>
      <c r="L337" s="162">
        <f>K337/F337*100</f>
        <v>99.035933333333332</v>
      </c>
      <c r="M337" s="158" t="e">
        <f>M13+M70+M75+M82+#REF!+#REF!+#REF!+#REF!+#REF!+M215+M237+M253+M295+#REF!+M94</f>
        <v>#REF!</v>
      </c>
      <c r="N337" s="76" t="e">
        <f>N13+N70+N75+N82+#REF!+#REF!+#REF!+#REF!+#REF!+N215+N237+N253+N295+#REF!+N94</f>
        <v>#REF!</v>
      </c>
      <c r="O337" s="76" t="e">
        <f>O13+O70+O75+O82+#REF!+#REF!+#REF!+#REF!+#REF!+O215+O237+O253+O295+#REF!+O94</f>
        <v>#REF!</v>
      </c>
      <c r="P337" s="76" t="e">
        <f>P13+P70+P75+P82+#REF!+#REF!+#REF!+#REF!+#REF!+P215+P237+P253+P295+#REF!+P94</f>
        <v>#REF!</v>
      </c>
      <c r="Q337" s="76" t="e">
        <f>Q13+Q70+Q75+Q82+#REF!+#REF!+#REF!+#REF!+#REF!+Q215+Q237+Q253+Q295+#REF!+Q94</f>
        <v>#REF!</v>
      </c>
    </row>
    <row r="338" spans="1:17">
      <c r="A338" s="83"/>
    </row>
    <row r="339" spans="1:17">
      <c r="A339" s="83"/>
    </row>
    <row r="340" spans="1:17">
      <c r="A340" s="83"/>
    </row>
    <row r="341" spans="1:17">
      <c r="A341" s="83"/>
    </row>
    <row r="342" spans="1:17">
      <c r="A342" s="83"/>
      <c r="B342" s="3" t="s">
        <v>153</v>
      </c>
    </row>
    <row r="343" spans="1:17">
      <c r="A343" s="83"/>
      <c r="B343" t="s">
        <v>112</v>
      </c>
    </row>
    <row r="344" spans="1:17">
      <c r="A344" s="83"/>
    </row>
    <row r="345" spans="1:17">
      <c r="A345" s="83"/>
      <c r="J345" t="s">
        <v>114</v>
      </c>
    </row>
    <row r="346" spans="1:17">
      <c r="A346" s="83"/>
      <c r="J346" t="s">
        <v>113</v>
      </c>
    </row>
    <row r="347" spans="1:17">
      <c r="A347" s="83"/>
    </row>
    <row r="348" spans="1:17">
      <c r="A348" s="83"/>
    </row>
    <row r="349" spans="1:17">
      <c r="A349" s="83"/>
    </row>
    <row r="350" spans="1:17">
      <c r="A350" s="83"/>
    </row>
    <row r="351" spans="1:17">
      <c r="A351" s="83"/>
    </row>
    <row r="352" spans="1:17">
      <c r="A352" s="83"/>
    </row>
    <row r="353" spans="1:1">
      <c r="A353" s="83"/>
    </row>
    <row r="354" spans="1:1">
      <c r="A354" s="83"/>
    </row>
    <row r="355" spans="1:1">
      <c r="A355" s="83"/>
    </row>
    <row r="356" spans="1:1">
      <c r="A356" s="83"/>
    </row>
    <row r="357" spans="1:1">
      <c r="A357" s="83"/>
    </row>
    <row r="358" spans="1:1">
      <c r="A358" s="83"/>
    </row>
    <row r="359" spans="1:1">
      <c r="A359" s="83"/>
    </row>
    <row r="360" spans="1:1">
      <c r="A360" s="83"/>
    </row>
    <row r="361" spans="1:1">
      <c r="A361" s="84"/>
    </row>
    <row r="362" spans="1:1">
      <c r="A362" s="1"/>
    </row>
    <row r="363" spans="1:1" ht="13.8">
      <c r="A363" s="85"/>
    </row>
    <row r="367" spans="1:1" ht="15" customHeight="1"/>
  </sheetData>
  <mergeCells count="6">
    <mergeCell ref="C7:F7"/>
    <mergeCell ref="G7:L7"/>
    <mergeCell ref="A3:R3"/>
    <mergeCell ref="B4:R4"/>
    <mergeCell ref="A6:B6"/>
    <mergeCell ref="A5:L5"/>
  </mergeCells>
  <pageMargins left="0" right="0" top="0" bottom="0" header="0.51181102362204722" footer="0.51181102362204722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návrh 1.zmeny Z.Fándlyho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ziak b01</dc:creator>
  <cp:lastModifiedBy>Riaditel</cp:lastModifiedBy>
  <cp:lastPrinted>2016-03-03T08:14:43Z</cp:lastPrinted>
  <dcterms:created xsi:type="dcterms:W3CDTF">2015-01-30T09:12:58Z</dcterms:created>
  <dcterms:modified xsi:type="dcterms:W3CDTF">2016-03-04T08:09:05Z</dcterms:modified>
</cp:coreProperties>
</file>